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0" windowWidth="23910" windowHeight="14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'Sheet1'!$A$1:$L$65</definedName>
  </definedNames>
  <calcPr fullCalcOnLoad="1"/>
</workbook>
</file>

<file path=xl/sharedStrings.xml><?xml version="1.0" encoding="utf-8"?>
<sst xmlns="http://schemas.openxmlformats.org/spreadsheetml/2006/main" count="214" uniqueCount="158">
  <si>
    <t>Job#:</t>
  </si>
  <si>
    <t>Roof</t>
  </si>
  <si>
    <t>Floor</t>
  </si>
  <si>
    <t>Dead Load</t>
  </si>
  <si>
    <t>Floor Live</t>
  </si>
  <si>
    <t>Roof Live</t>
  </si>
  <si>
    <t>psf</t>
  </si>
  <si>
    <t>in</t>
  </si>
  <si>
    <r>
      <rPr>
        <sz val="9"/>
        <color indexed="8"/>
        <rFont val="Arial"/>
        <family val="2"/>
      </rPr>
      <t>ρ</t>
    </r>
    <r>
      <rPr>
        <sz val="7"/>
        <color indexed="8"/>
        <rFont val="Arial"/>
        <family val="2"/>
      </rPr>
      <t>conc</t>
    </r>
    <r>
      <rPr>
        <sz val="8"/>
        <color indexed="8"/>
        <rFont val="Arial"/>
        <family val="2"/>
      </rPr>
      <t xml:space="preserve"> =</t>
    </r>
  </si>
  <si>
    <t>pcf</t>
  </si>
  <si>
    <t>Totals</t>
  </si>
  <si>
    <t>2.) D + L =</t>
  </si>
  <si>
    <t>3.) D + (Lr or S) =</t>
  </si>
  <si>
    <t>4.) D + .75L + .75(Lr or S) =</t>
  </si>
  <si>
    <t>lbs</t>
  </si>
  <si>
    <t>Roof DL =</t>
  </si>
  <si>
    <t>Floor LL =</t>
  </si>
  <si>
    <t>Floor DL =</t>
  </si>
  <si>
    <t>Steel Yield Strength =</t>
  </si>
  <si>
    <t>psi</t>
  </si>
  <si>
    <t>Soil Bearing Pressure =</t>
  </si>
  <si>
    <r>
      <t>Footing Width</t>
    </r>
    <r>
      <rPr>
        <sz val="8"/>
        <color indexed="8"/>
        <rFont val="Arial"/>
        <family val="2"/>
      </rPr>
      <t xml:space="preserve"> =</t>
    </r>
  </si>
  <si>
    <r>
      <t>Footing Depth</t>
    </r>
    <r>
      <rPr>
        <sz val="8"/>
        <color indexed="8"/>
        <rFont val="Arial"/>
        <family val="2"/>
      </rPr>
      <t xml:space="preserve"> =</t>
    </r>
  </si>
  <si>
    <t>Conc. Comp. Strength =</t>
  </si>
  <si>
    <t>Soil Depth Above Ftg.</t>
  </si>
  <si>
    <r>
      <rPr>
        <sz val="9"/>
        <color indexed="8"/>
        <rFont val="Arial"/>
        <family val="2"/>
      </rPr>
      <t>ρ</t>
    </r>
    <r>
      <rPr>
        <sz val="7"/>
        <color indexed="8"/>
        <rFont val="Arial"/>
        <family val="2"/>
      </rPr>
      <t>soil</t>
    </r>
    <r>
      <rPr>
        <sz val="8"/>
        <color indexed="8"/>
        <rFont val="Arial"/>
        <family val="2"/>
      </rPr>
      <t xml:space="preserve"> =</t>
    </r>
  </si>
  <si>
    <t>Roof LL or S =</t>
  </si>
  <si>
    <t>Applied Bearing Pressure</t>
  </si>
  <si>
    <t>Reinf. Bar Size =</t>
  </si>
  <si>
    <r>
      <t>Reinf. Cover</t>
    </r>
    <r>
      <rPr>
        <sz val="8"/>
        <color indexed="8"/>
        <rFont val="Arial"/>
        <family val="2"/>
      </rPr>
      <t xml:space="preserve"> =</t>
    </r>
  </si>
  <si>
    <t>Eff. Allowable SBP</t>
  </si>
  <si>
    <r>
      <t>Q</t>
    </r>
    <r>
      <rPr>
        <sz val="7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=</t>
    </r>
  </si>
  <si>
    <t>Bearing Calculations:</t>
  </si>
  <si>
    <t>Beam Shear Calculations (One Way Shear):</t>
  </si>
  <si>
    <t>Strength Design Load Cases from ASCE 7-10:</t>
  </si>
  <si>
    <t>1.) 1.4D =</t>
  </si>
  <si>
    <t>2.) 1.2D + 1.6L + .5(Lr or S) =</t>
  </si>
  <si>
    <t>3.) 1.2D + 1.6(Lr or S) + L =</t>
  </si>
  <si>
    <t>ASD Load Cases from ASCE 7-10:</t>
  </si>
  <si>
    <r>
      <t>Q</t>
    </r>
    <r>
      <rPr>
        <sz val="7"/>
        <color indexed="8"/>
        <rFont val="Arial"/>
        <family val="2"/>
      </rPr>
      <t>u</t>
    </r>
    <r>
      <rPr>
        <sz val="8"/>
        <color indexed="8"/>
        <rFont val="Arial"/>
        <family val="2"/>
      </rPr>
      <t xml:space="preserve"> =</t>
    </r>
  </si>
  <si>
    <r>
      <t>d</t>
    </r>
    <r>
      <rPr>
        <sz val="8"/>
        <color indexed="8"/>
        <rFont val="Arial"/>
        <family val="2"/>
      </rPr>
      <t xml:space="preserve"> =</t>
    </r>
  </si>
  <si>
    <t>Eff. Depth to Top Layer of Steel</t>
  </si>
  <si>
    <t>Applied Beam Shear</t>
  </si>
  <si>
    <t>Allowable Beam Shear</t>
  </si>
  <si>
    <r>
      <t>V</t>
    </r>
    <r>
      <rPr>
        <sz val="7"/>
        <color indexed="8"/>
        <rFont val="Arial"/>
        <family val="2"/>
      </rPr>
      <t>c1</t>
    </r>
    <r>
      <rPr>
        <sz val="8"/>
        <color indexed="8"/>
        <rFont val="Arial"/>
        <family val="2"/>
      </rPr>
      <t xml:space="preserve"> =</t>
    </r>
  </si>
  <si>
    <r>
      <t>Q</t>
    </r>
    <r>
      <rPr>
        <sz val="7"/>
        <color indexed="8"/>
        <rFont val="Arial"/>
        <family val="2"/>
      </rPr>
      <t>asd</t>
    </r>
    <r>
      <rPr>
        <sz val="8"/>
        <color indexed="8"/>
        <rFont val="Arial"/>
        <family val="2"/>
      </rPr>
      <t xml:space="preserve"> =</t>
    </r>
  </si>
  <si>
    <t>Footing Depth Required</t>
  </si>
  <si>
    <t>Footing Depth</t>
  </si>
  <si>
    <t>Dreq =</t>
  </si>
  <si>
    <r>
      <t>D</t>
    </r>
    <r>
      <rPr>
        <sz val="7"/>
        <color indexed="8"/>
        <rFont val="Arial"/>
        <family val="2"/>
      </rPr>
      <t xml:space="preserve">footing </t>
    </r>
    <r>
      <rPr>
        <sz val="8"/>
        <color indexed="8"/>
        <rFont val="Arial"/>
        <family val="2"/>
      </rPr>
      <t>=</t>
    </r>
  </si>
  <si>
    <t>Unreinforced Concrete</t>
  </si>
  <si>
    <t>Bending Calculations:</t>
  </si>
  <si>
    <t>Cantilever length</t>
  </si>
  <si>
    <r>
      <t>L</t>
    </r>
    <r>
      <rPr>
        <sz val="7"/>
        <color indexed="8"/>
        <rFont val="Arial"/>
        <family val="2"/>
      </rPr>
      <t>cant</t>
    </r>
    <r>
      <rPr>
        <sz val="8"/>
        <color indexed="8"/>
        <rFont val="Arial"/>
        <family val="2"/>
      </rPr>
      <t xml:space="preserve"> =</t>
    </r>
  </si>
  <si>
    <t>in-lb</t>
  </si>
  <si>
    <r>
      <t>M</t>
    </r>
    <r>
      <rPr>
        <sz val="7"/>
        <color indexed="8"/>
        <rFont val="Arial"/>
        <family val="2"/>
      </rPr>
      <t>u</t>
    </r>
    <r>
      <rPr>
        <sz val="8"/>
        <color indexed="8"/>
        <rFont val="Arial"/>
        <family val="2"/>
      </rPr>
      <t xml:space="preserve"> =</t>
    </r>
  </si>
  <si>
    <r>
      <t>S</t>
    </r>
    <r>
      <rPr>
        <sz val="8"/>
        <color indexed="8"/>
        <rFont val="Arial"/>
        <family val="2"/>
      </rPr>
      <t xml:space="preserve"> =</t>
    </r>
  </si>
  <si>
    <r>
      <t>in</t>
    </r>
    <r>
      <rPr>
        <vertAlign val="superscript"/>
        <sz val="8"/>
        <color indexed="8"/>
        <rFont val="Arial"/>
        <family val="2"/>
      </rPr>
      <t>3</t>
    </r>
  </si>
  <si>
    <r>
      <t>M</t>
    </r>
    <r>
      <rPr>
        <sz val="7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 =</t>
    </r>
  </si>
  <si>
    <r>
      <t>R</t>
    </r>
    <r>
      <rPr>
        <sz val="7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 =</t>
    </r>
  </si>
  <si>
    <t>Steel Ratio</t>
  </si>
  <si>
    <t>ρ =</t>
  </si>
  <si>
    <t>Steel Req. based on Moment</t>
  </si>
  <si>
    <t>Steel Req. based on Shrink</t>
  </si>
  <si>
    <r>
      <t>in</t>
    </r>
    <r>
      <rPr>
        <vertAlign val="superscript"/>
        <sz val="8"/>
        <color indexed="8"/>
        <rFont val="Arial"/>
        <family val="2"/>
      </rPr>
      <t>2</t>
    </r>
  </si>
  <si>
    <r>
      <t>A</t>
    </r>
    <r>
      <rPr>
        <sz val="7"/>
        <color indexed="8"/>
        <rFont val="Arial"/>
        <family val="2"/>
      </rPr>
      <t>s(1)</t>
    </r>
    <r>
      <rPr>
        <sz val="8"/>
        <color indexed="8"/>
        <rFont val="Arial"/>
        <family val="2"/>
      </rPr>
      <t xml:space="preserve"> =</t>
    </r>
  </si>
  <si>
    <r>
      <t>A</t>
    </r>
    <r>
      <rPr>
        <sz val="7"/>
        <color indexed="8"/>
        <rFont val="Arial"/>
        <family val="2"/>
      </rPr>
      <t>s(2)</t>
    </r>
    <r>
      <rPr>
        <sz val="8"/>
        <color indexed="8"/>
        <rFont val="Arial"/>
        <family val="2"/>
      </rPr>
      <t xml:space="preserve"> =</t>
    </r>
  </si>
  <si>
    <t>Controlling Reinf. Steel</t>
  </si>
  <si>
    <r>
      <t>A</t>
    </r>
    <r>
      <rPr>
        <sz val="7"/>
        <color indexed="8"/>
        <rFont val="Arial"/>
        <family val="2"/>
      </rPr>
      <t>s(req)</t>
    </r>
    <r>
      <rPr>
        <sz val="8"/>
        <color indexed="8"/>
        <rFont val="Arial"/>
        <family val="2"/>
      </rPr>
      <t xml:space="preserve"> =</t>
    </r>
  </si>
  <si>
    <t>Reinforcement Area Provided</t>
  </si>
  <si>
    <r>
      <t>A</t>
    </r>
    <r>
      <rPr>
        <sz val="7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=</t>
    </r>
  </si>
  <si>
    <t>Spacing</t>
  </si>
  <si>
    <t>Bar Option</t>
  </si>
  <si>
    <t>No. of Bars</t>
  </si>
  <si>
    <t>Selected Longitudinal Bars:</t>
  </si>
  <si>
    <t>Development Length Calculations:</t>
  </si>
  <si>
    <t>λ =</t>
  </si>
  <si>
    <r>
      <t>ψ</t>
    </r>
    <r>
      <rPr>
        <vertAlign val="subscript"/>
        <sz val="8"/>
        <color indexed="8"/>
        <rFont val="Arial"/>
        <family val="2"/>
      </rPr>
      <t>t</t>
    </r>
    <r>
      <rPr>
        <sz val="8"/>
        <color indexed="8"/>
        <rFont val="Arial"/>
        <family val="2"/>
      </rPr>
      <t xml:space="preserve"> =</t>
    </r>
  </si>
  <si>
    <r>
      <t>ψ</t>
    </r>
    <r>
      <rPr>
        <vertAlign val="sub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=</t>
    </r>
  </si>
  <si>
    <r>
      <t>ψ</t>
    </r>
    <r>
      <rPr>
        <vertAlign val="subscript"/>
        <sz val="8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=</t>
    </r>
  </si>
  <si>
    <r>
      <t>c</t>
    </r>
    <r>
      <rPr>
        <sz val="8"/>
        <color indexed="8"/>
        <rFont val="Arial"/>
        <family val="2"/>
      </rPr>
      <t xml:space="preserve"> =</t>
    </r>
  </si>
  <si>
    <r>
      <t>K</t>
    </r>
    <r>
      <rPr>
        <vertAlign val="subscript"/>
        <sz val="8"/>
        <color indexed="8"/>
        <rFont val="Arial"/>
        <family val="2"/>
      </rPr>
      <t>tr</t>
    </r>
    <r>
      <rPr>
        <sz val="8"/>
        <color indexed="8"/>
        <rFont val="Arial"/>
        <family val="2"/>
      </rPr>
      <t xml:space="preserve"> =</t>
    </r>
  </si>
  <si>
    <t>(lightweight aggregate factor)</t>
  </si>
  <si>
    <t>(reinforcement location factor)</t>
  </si>
  <si>
    <t>(coating factor)</t>
  </si>
  <si>
    <t>(reinforcement size factor)</t>
  </si>
  <si>
    <t>spacing/cover dimension</t>
  </si>
  <si>
    <t>(transverse reinf. Index)</t>
  </si>
  <si>
    <t>Transverse Reinf. Factor</t>
  </si>
  <si>
    <r>
      <t>c + K</t>
    </r>
    <r>
      <rPr>
        <vertAlign val="subscript"/>
        <sz val="8"/>
        <color indexed="8"/>
        <rFont val="Arial"/>
        <family val="2"/>
      </rPr>
      <t>tr</t>
    </r>
    <r>
      <rPr>
        <sz val="8"/>
        <color indexed="8"/>
        <rFont val="Arial"/>
        <family val="2"/>
      </rPr>
      <t>/d</t>
    </r>
    <r>
      <rPr>
        <vertAlign val="sub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=</t>
    </r>
  </si>
  <si>
    <t>Length Req.</t>
  </si>
  <si>
    <t>Length Available</t>
  </si>
  <si>
    <r>
      <t>L</t>
    </r>
    <r>
      <rPr>
        <sz val="7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=</t>
    </r>
  </si>
  <si>
    <r>
      <t>L</t>
    </r>
    <r>
      <rPr>
        <sz val="7"/>
        <color indexed="8"/>
        <rFont val="Arial"/>
        <family val="2"/>
      </rPr>
      <t>d-sup</t>
    </r>
    <r>
      <rPr>
        <sz val="8"/>
        <color indexed="8"/>
        <rFont val="Arial"/>
        <family val="2"/>
      </rPr>
      <t xml:space="preserve"> =</t>
    </r>
  </si>
  <si>
    <t>Square Footing Calculator</t>
  </si>
  <si>
    <t>Check square pad footing at location of column.</t>
  </si>
  <si>
    <t>(lbs)</t>
  </si>
  <si>
    <t>Column Width =</t>
  </si>
  <si>
    <t>Column Breadth =</t>
  </si>
  <si>
    <r>
      <t>ft</t>
    </r>
    <r>
      <rPr>
        <vertAlign val="superscript"/>
        <sz val="8"/>
        <color indexed="8"/>
        <rFont val="Arial"/>
        <family val="2"/>
      </rPr>
      <t>2</t>
    </r>
  </si>
  <si>
    <t>Footing Area Required</t>
  </si>
  <si>
    <t>Areq =</t>
  </si>
  <si>
    <r>
      <t>A</t>
    </r>
    <r>
      <rPr>
        <sz val="7"/>
        <color indexed="8"/>
        <rFont val="Arial"/>
        <family val="2"/>
      </rPr>
      <t>footing</t>
    </r>
    <r>
      <rPr>
        <sz val="8"/>
        <color indexed="8"/>
        <rFont val="Arial"/>
        <family val="2"/>
      </rPr>
      <t xml:space="preserve"> =</t>
    </r>
  </si>
  <si>
    <t>Column Type =</t>
  </si>
  <si>
    <t>WOOD</t>
  </si>
  <si>
    <t>Weight to resist Uplift w/ 1.5 F.S.  U.R. =</t>
  </si>
  <si>
    <t>Baseplate Bearing Calculations:</t>
  </si>
  <si>
    <t>Ult. Applied Bearing Pressure</t>
  </si>
  <si>
    <r>
      <t>P</t>
    </r>
    <r>
      <rPr>
        <sz val="7"/>
        <color indexed="8"/>
        <rFont val="Arial"/>
        <family val="2"/>
      </rPr>
      <t>u</t>
    </r>
    <r>
      <rPr>
        <sz val="8"/>
        <color indexed="8"/>
        <rFont val="Arial"/>
        <family val="2"/>
      </rPr>
      <t xml:space="preserve"> =</t>
    </r>
  </si>
  <si>
    <r>
      <t>√A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/A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=</t>
    </r>
  </si>
  <si>
    <r>
      <t>A</t>
    </r>
    <r>
      <rPr>
        <sz val="7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=</t>
    </r>
  </si>
  <si>
    <r>
      <t>in</t>
    </r>
    <r>
      <rPr>
        <vertAlign val="superscript"/>
        <sz val="8"/>
        <color indexed="8"/>
        <rFont val="Arial"/>
        <family val="2"/>
      </rPr>
      <t>2</t>
    </r>
  </si>
  <si>
    <r>
      <t>P</t>
    </r>
    <r>
      <rPr>
        <sz val="7"/>
        <color indexed="8"/>
        <rFont val="Arial"/>
        <family val="2"/>
      </rPr>
      <t>allow</t>
    </r>
    <r>
      <rPr>
        <sz val="8"/>
        <color indexed="8"/>
        <rFont val="Arial"/>
        <family val="2"/>
      </rPr>
      <t xml:space="preserve"> =</t>
    </r>
  </si>
  <si>
    <t>Column Type</t>
  </si>
  <si>
    <t>STEEL</t>
  </si>
  <si>
    <t>CONCRETE</t>
  </si>
  <si>
    <t>MASONRY</t>
  </si>
  <si>
    <t>Steel Yield Strength</t>
  </si>
  <si>
    <t>Reinforcement Calculations:</t>
  </si>
  <si>
    <t>Punching Shear Calculations (Two Way Shear):</t>
  </si>
  <si>
    <t>Critical Perimeter</t>
  </si>
  <si>
    <t>Punching Shear</t>
  </si>
  <si>
    <t>Allowable Punching Shear</t>
  </si>
  <si>
    <r>
      <t>V</t>
    </r>
    <r>
      <rPr>
        <sz val="7"/>
        <color indexed="8"/>
        <rFont val="Arial"/>
        <family val="2"/>
      </rPr>
      <t>c2-a</t>
    </r>
    <r>
      <rPr>
        <sz val="8"/>
        <color indexed="8"/>
        <rFont val="Arial"/>
        <family val="2"/>
      </rPr>
      <t xml:space="preserve"> =</t>
    </r>
  </si>
  <si>
    <t>Controlling Punching Shear</t>
  </si>
  <si>
    <r>
      <t>V</t>
    </r>
    <r>
      <rPr>
        <sz val="7"/>
        <color indexed="8"/>
        <rFont val="Arial"/>
        <family val="2"/>
      </rPr>
      <t>u1</t>
    </r>
    <r>
      <rPr>
        <sz val="8"/>
        <color indexed="8"/>
        <rFont val="Arial"/>
        <family val="2"/>
      </rPr>
      <t xml:space="preserve"> =</t>
    </r>
  </si>
  <si>
    <r>
      <t>V</t>
    </r>
    <r>
      <rPr>
        <sz val="7"/>
        <color indexed="8"/>
        <rFont val="Arial"/>
        <family val="2"/>
      </rPr>
      <t>u2</t>
    </r>
    <r>
      <rPr>
        <sz val="8"/>
        <color indexed="8"/>
        <rFont val="Arial"/>
        <family val="2"/>
      </rPr>
      <t xml:space="preserve"> =</t>
    </r>
  </si>
  <si>
    <r>
      <t>b</t>
    </r>
    <r>
      <rPr>
        <sz val="7"/>
        <color indexed="8"/>
        <rFont val="Arial"/>
        <family val="2"/>
      </rPr>
      <t>0</t>
    </r>
    <r>
      <rPr>
        <sz val="8"/>
        <color indexed="8"/>
        <rFont val="Arial"/>
        <family val="2"/>
      </rPr>
      <t xml:space="preserve"> =</t>
    </r>
  </si>
  <si>
    <r>
      <t>V</t>
    </r>
    <r>
      <rPr>
        <sz val="7"/>
        <color indexed="8"/>
        <rFont val="Arial"/>
        <family val="2"/>
      </rPr>
      <t>c2</t>
    </r>
    <r>
      <rPr>
        <sz val="8"/>
        <color indexed="8"/>
        <rFont val="Arial"/>
        <family val="2"/>
      </rPr>
      <t xml:space="preserve"> =</t>
    </r>
  </si>
  <si>
    <t>Column Ratio</t>
  </si>
  <si>
    <t>Column Location Factor</t>
  </si>
  <si>
    <r>
      <t>β</t>
    </r>
    <r>
      <rPr>
        <sz val="7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=</t>
    </r>
  </si>
  <si>
    <r>
      <t>α</t>
    </r>
    <r>
      <rPr>
        <sz val="7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=</t>
    </r>
  </si>
  <si>
    <r>
      <t>V</t>
    </r>
    <r>
      <rPr>
        <sz val="7"/>
        <color indexed="8"/>
        <rFont val="Arial"/>
        <family val="2"/>
      </rPr>
      <t>c2-b</t>
    </r>
    <r>
      <rPr>
        <sz val="8"/>
        <color indexed="8"/>
        <rFont val="Arial"/>
        <family val="2"/>
      </rPr>
      <t xml:space="preserve"> =</t>
    </r>
  </si>
  <si>
    <r>
      <t>V</t>
    </r>
    <r>
      <rPr>
        <sz val="7"/>
        <color indexed="8"/>
        <rFont val="Arial"/>
        <family val="2"/>
      </rPr>
      <t>c2-c</t>
    </r>
    <r>
      <rPr>
        <sz val="8"/>
        <color indexed="8"/>
        <rFont val="Arial"/>
        <family val="2"/>
      </rPr>
      <t xml:space="preserve"> =</t>
    </r>
  </si>
  <si>
    <r>
      <t xml:space="preserve">lbs </t>
    </r>
    <r>
      <rPr>
        <sz val="7"/>
        <color indexed="8"/>
        <rFont val="Arial"/>
        <family val="2"/>
      </rPr>
      <t>(ACI 11-31)</t>
    </r>
  </si>
  <si>
    <r>
      <t xml:space="preserve">lbs </t>
    </r>
    <r>
      <rPr>
        <sz val="7"/>
        <color indexed="8"/>
        <rFont val="Arial"/>
        <family val="2"/>
      </rPr>
      <t>(ACI 11-32)</t>
    </r>
  </si>
  <si>
    <r>
      <t xml:space="preserve">lbs </t>
    </r>
    <r>
      <rPr>
        <sz val="7"/>
        <color indexed="8"/>
        <rFont val="Arial"/>
        <family val="2"/>
      </rPr>
      <t>(ACI 11-33)</t>
    </r>
  </si>
  <si>
    <r>
      <t xml:space="preserve">lbs </t>
    </r>
    <r>
      <rPr>
        <sz val="7"/>
        <color indexed="8"/>
        <rFont val="Arial"/>
        <family val="2"/>
      </rPr>
      <t>(ACI 11-3)</t>
    </r>
  </si>
  <si>
    <t>Bending Moment</t>
  </si>
  <si>
    <r>
      <t xml:space="preserve">in-lb </t>
    </r>
    <r>
      <rPr>
        <sz val="7"/>
        <color indexed="8"/>
        <rFont val="Arial"/>
        <family val="2"/>
      </rPr>
      <t>(ACI 22-2)</t>
    </r>
  </si>
  <si>
    <r>
      <t>lbs</t>
    </r>
    <r>
      <rPr>
        <sz val="7"/>
        <color indexed="8"/>
        <rFont val="Arial"/>
        <family val="2"/>
      </rPr>
      <t xml:space="preserve"> (ACI 10.14)</t>
    </r>
  </si>
  <si>
    <r>
      <t>in</t>
    </r>
    <r>
      <rPr>
        <vertAlign val="superscript"/>
        <sz val="8"/>
        <color indexed="8"/>
        <rFont val="Arial"/>
        <family val="2"/>
      </rPr>
      <t xml:space="preserve">2 </t>
    </r>
    <r>
      <rPr>
        <sz val="7"/>
        <color indexed="8"/>
        <rFont val="Arial"/>
        <family val="2"/>
      </rPr>
      <t>(ACI 7.12)</t>
    </r>
  </si>
  <si>
    <t>Moment Strength</t>
  </si>
  <si>
    <t>Mn =</t>
  </si>
  <si>
    <r>
      <t>M</t>
    </r>
    <r>
      <rPr>
        <sz val="7"/>
        <color indexed="8"/>
        <rFont val="Arial"/>
        <family val="2"/>
      </rPr>
      <t>u</t>
    </r>
    <r>
      <rPr>
        <sz val="8"/>
        <color indexed="8"/>
        <rFont val="Arial"/>
        <family val="2"/>
      </rPr>
      <t>/</t>
    </r>
    <r>
      <rPr>
        <sz val="8"/>
        <color indexed="8"/>
        <rFont val="Calibri"/>
        <family val="2"/>
      </rPr>
      <t>φ</t>
    </r>
    <r>
      <rPr>
        <sz val="8"/>
        <color indexed="8"/>
        <rFont val="Arial"/>
        <family val="2"/>
      </rPr>
      <t>bd</t>
    </r>
    <r>
      <rPr>
        <vertAlign val="superscript"/>
        <sz val="8"/>
        <color indexed="8"/>
        <rFont val="Arial"/>
        <family val="2"/>
      </rPr>
      <t>2</t>
    </r>
  </si>
  <si>
    <r>
      <t>in</t>
    </r>
    <r>
      <rPr>
        <sz val="7"/>
        <color indexed="8"/>
        <rFont val="Arial"/>
        <family val="2"/>
      </rPr>
      <t xml:space="preserve"> (ACI 12-1)</t>
    </r>
  </si>
  <si>
    <t>Conc. Comp. Block</t>
  </si>
  <si>
    <t>a =</t>
  </si>
  <si>
    <t xml:space="preserve">in </t>
  </si>
  <si>
    <t>Area of Footing</t>
  </si>
  <si>
    <t>Copyright © 2015 - Medeek Engineering Inc.</t>
  </si>
  <si>
    <t>Code:  ACI 318-14</t>
  </si>
  <si>
    <t>By inspection the dead and live loads acting vertically on this column are:</t>
  </si>
  <si>
    <t>Footing at P1</t>
  </si>
  <si>
    <t>2015-026</t>
  </si>
  <si>
    <r>
      <t>Equivalent Footing Dia.</t>
    </r>
    <r>
      <rPr>
        <sz val="8"/>
        <color indexed="8"/>
        <rFont val="Arial"/>
        <family val="2"/>
      </rPr>
      <t xml:space="preserve"> =</t>
    </r>
  </si>
  <si>
    <t>Rev. 1.0.3 - 9/25/2015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</si>
</sst>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u val="single"/>
      <sz val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007A37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" fontId="48" fillId="33" borderId="0" xfId="0" applyNumberFormat="1" applyFont="1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vertical="center"/>
    </xf>
    <xf numFmtId="0" fontId="48" fillId="5" borderId="12" xfId="0" applyFont="1" applyFill="1" applyBorder="1" applyAlignment="1">
      <alignment vertical="center"/>
    </xf>
    <xf numFmtId="0" fontId="48" fillId="5" borderId="1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48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4" fontId="53" fillId="0" borderId="0" xfId="0" applyNumberFormat="1" applyFont="1" applyAlignment="1">
      <alignment vertical="center"/>
    </xf>
    <xf numFmtId="165" fontId="48" fillId="0" borderId="0" xfId="0" applyNumberFormat="1" applyFont="1" applyAlignment="1">
      <alignment vertical="center"/>
    </xf>
    <xf numFmtId="166" fontId="48" fillId="0" borderId="0" xfId="0" applyNumberFormat="1" applyFont="1" applyAlignment="1">
      <alignment vertical="center"/>
    </xf>
    <xf numFmtId="0" fontId="48" fillId="0" borderId="14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2" fontId="48" fillId="0" borderId="0" xfId="0" applyNumberFormat="1" applyFont="1" applyAlignment="1">
      <alignment vertical="center"/>
    </xf>
    <xf numFmtId="0" fontId="5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" fontId="48" fillId="0" borderId="0" xfId="0" applyNumberFormat="1" applyFont="1" applyFill="1" applyAlignment="1">
      <alignment horizontal="center" vertical="center"/>
    </xf>
    <xf numFmtId="1" fontId="48" fillId="0" borderId="14" xfId="0" applyNumberFormat="1" applyFont="1" applyFill="1" applyBorder="1" applyAlignment="1">
      <alignment horizontal="center" vertical="center"/>
    </xf>
    <xf numFmtId="3" fontId="48" fillId="0" borderId="0" xfId="0" applyNumberFormat="1" applyFont="1" applyAlignment="1">
      <alignment vertical="center"/>
    </xf>
    <xf numFmtId="167" fontId="48" fillId="0" borderId="0" xfId="0" applyNumberFormat="1" applyFont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66" fontId="48" fillId="0" borderId="0" xfId="0" applyNumberFormat="1" applyFont="1" applyFill="1" applyBorder="1" applyAlignment="1">
      <alignment vertical="center"/>
    </xf>
    <xf numFmtId="2" fontId="48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65" fontId="48" fillId="0" borderId="0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right"/>
    </xf>
    <xf numFmtId="0" fontId="48" fillId="0" borderId="0" xfId="0" applyFont="1" applyAlignment="1" applyProtection="1">
      <alignment vertical="center"/>
      <protection locked="0"/>
    </xf>
    <xf numFmtId="1" fontId="48" fillId="33" borderId="0" xfId="0" applyNumberFormat="1" applyFont="1" applyFill="1" applyAlignment="1" applyProtection="1">
      <alignment vertical="center"/>
      <protection locked="0"/>
    </xf>
    <xf numFmtId="164" fontId="48" fillId="33" borderId="0" xfId="0" applyNumberFormat="1" applyFont="1" applyFill="1" applyAlignment="1" applyProtection="1">
      <alignment vertical="center"/>
      <protection locked="0"/>
    </xf>
    <xf numFmtId="2" fontId="48" fillId="33" borderId="0" xfId="0" applyNumberFormat="1" applyFont="1" applyFill="1" applyAlignment="1" applyProtection="1">
      <alignment vertical="center"/>
      <protection locked="0"/>
    </xf>
    <xf numFmtId="2" fontId="48" fillId="33" borderId="0" xfId="0" applyNumberFormat="1" applyFont="1" applyFill="1" applyAlignment="1" applyProtection="1">
      <alignment horizontal="right" vertical="center"/>
      <protection locked="0"/>
    </xf>
    <xf numFmtId="3" fontId="48" fillId="33" borderId="0" xfId="0" applyNumberFormat="1" applyFont="1" applyFill="1" applyAlignment="1" applyProtection="1">
      <alignment vertical="center"/>
      <protection locked="0"/>
    </xf>
    <xf numFmtId="0" fontId="48" fillId="33" borderId="0" xfId="0" applyFont="1" applyFill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53" fillId="33" borderId="0" xfId="0" applyFont="1" applyFill="1" applyAlignment="1" applyProtection="1">
      <alignment vertical="center"/>
      <protection locked="0"/>
    </xf>
    <xf numFmtId="164" fontId="48" fillId="0" borderId="0" xfId="0" applyNumberFormat="1" applyFont="1" applyFill="1" applyAlignment="1" applyProtection="1">
      <alignment vertical="center"/>
      <protection locked="0"/>
    </xf>
    <xf numFmtId="2" fontId="53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20</xdr:row>
      <xdr:rowOff>85725</xdr:rowOff>
    </xdr:from>
    <xdr:to>
      <xdr:col>5</xdr:col>
      <xdr:colOff>495300</xdr:colOff>
      <xdr:row>20</xdr:row>
      <xdr:rowOff>85725</xdr:rowOff>
    </xdr:to>
    <xdr:sp>
      <xdr:nvSpPr>
        <xdr:cNvPr id="1" name="Straight Arrow Connector 10"/>
        <xdr:cNvSpPr>
          <a:spLocks/>
        </xdr:cNvSpPr>
      </xdr:nvSpPr>
      <xdr:spPr>
        <a:xfrm>
          <a:off x="3105150" y="296227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33</xdr:row>
      <xdr:rowOff>85725</xdr:rowOff>
    </xdr:from>
    <xdr:to>
      <xdr:col>5</xdr:col>
      <xdr:colOff>495300</xdr:colOff>
      <xdr:row>33</xdr:row>
      <xdr:rowOff>85725</xdr:rowOff>
    </xdr:to>
    <xdr:sp>
      <xdr:nvSpPr>
        <xdr:cNvPr id="2" name="Straight Arrow Connector 11"/>
        <xdr:cNvSpPr>
          <a:spLocks/>
        </xdr:cNvSpPr>
      </xdr:nvSpPr>
      <xdr:spPr>
        <a:xfrm>
          <a:off x="3105150" y="48387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32</xdr:row>
      <xdr:rowOff>85725</xdr:rowOff>
    </xdr:from>
    <xdr:to>
      <xdr:col>10</xdr:col>
      <xdr:colOff>457200</xdr:colOff>
      <xdr:row>32</xdr:row>
      <xdr:rowOff>85725</xdr:rowOff>
    </xdr:to>
    <xdr:sp>
      <xdr:nvSpPr>
        <xdr:cNvPr id="3" name="Straight Arrow Connector 12"/>
        <xdr:cNvSpPr>
          <a:spLocks/>
        </xdr:cNvSpPr>
      </xdr:nvSpPr>
      <xdr:spPr>
        <a:xfrm>
          <a:off x="5505450" y="467677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46</xdr:row>
      <xdr:rowOff>85725</xdr:rowOff>
    </xdr:from>
    <xdr:to>
      <xdr:col>11</xdr:col>
      <xdr:colOff>0</xdr:colOff>
      <xdr:row>46</xdr:row>
      <xdr:rowOff>85725</xdr:rowOff>
    </xdr:to>
    <xdr:sp>
      <xdr:nvSpPr>
        <xdr:cNvPr id="4" name="Straight Arrow Connector 13"/>
        <xdr:cNvSpPr>
          <a:spLocks/>
        </xdr:cNvSpPr>
      </xdr:nvSpPr>
      <xdr:spPr>
        <a:xfrm>
          <a:off x="5505450" y="673417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45</xdr:row>
      <xdr:rowOff>85725</xdr:rowOff>
    </xdr:from>
    <xdr:to>
      <xdr:col>5</xdr:col>
      <xdr:colOff>495300</xdr:colOff>
      <xdr:row>45</xdr:row>
      <xdr:rowOff>85725</xdr:rowOff>
    </xdr:to>
    <xdr:sp>
      <xdr:nvSpPr>
        <xdr:cNvPr id="5" name="Straight Arrow Connector 7"/>
        <xdr:cNvSpPr>
          <a:spLocks/>
        </xdr:cNvSpPr>
      </xdr:nvSpPr>
      <xdr:spPr>
        <a:xfrm>
          <a:off x="3105150" y="65722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55</xdr:row>
      <xdr:rowOff>85725</xdr:rowOff>
    </xdr:from>
    <xdr:to>
      <xdr:col>6</xdr:col>
      <xdr:colOff>0</xdr:colOff>
      <xdr:row>55</xdr:row>
      <xdr:rowOff>85725</xdr:rowOff>
    </xdr:to>
    <xdr:sp>
      <xdr:nvSpPr>
        <xdr:cNvPr id="6" name="Straight Arrow Connector 8"/>
        <xdr:cNvSpPr>
          <a:spLocks/>
        </xdr:cNvSpPr>
      </xdr:nvSpPr>
      <xdr:spPr>
        <a:xfrm>
          <a:off x="3105150" y="80391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7"/>
  <sheetViews>
    <sheetView tabSelected="1" zoomScale="125" zoomScaleNormal="125" zoomScalePageLayoutView="0" workbookViewId="0" topLeftCell="A1">
      <selection activeCell="G11" sqref="G11"/>
    </sheetView>
  </sheetViews>
  <sheetFormatPr defaultColWidth="9.140625" defaultRowHeight="15"/>
  <cols>
    <col min="1" max="1" width="7.57421875" style="3" customWidth="1"/>
    <col min="2" max="2" width="8.7109375" style="3" customWidth="1"/>
    <col min="3" max="3" width="11.140625" style="3" customWidth="1"/>
    <col min="4" max="4" width="7.8515625" style="3" customWidth="1"/>
    <col min="5" max="5" width="8.28125" style="3" customWidth="1"/>
    <col min="6" max="6" width="7.57421875" style="3" customWidth="1"/>
    <col min="7" max="7" width="6.8515625" style="3" customWidth="1"/>
    <col min="8" max="8" width="7.00390625" style="3" customWidth="1"/>
    <col min="9" max="9" width="6.7109375" style="3" customWidth="1"/>
    <col min="10" max="10" width="7.8515625" style="3" customWidth="1"/>
    <col min="11" max="11" width="6.8515625" style="3" customWidth="1"/>
    <col min="12" max="12" width="6.421875" style="3" customWidth="1"/>
    <col min="13" max="16384" width="9.140625" style="3" customWidth="1"/>
  </cols>
  <sheetData>
    <row r="1" spans="11:12" ht="11.25">
      <c r="K1" s="4" t="s">
        <v>0</v>
      </c>
      <c r="L1" s="57" t="s">
        <v>155</v>
      </c>
    </row>
    <row r="2" spans="2:20" ht="11.25">
      <c r="B2" s="16" t="s">
        <v>94</v>
      </c>
      <c r="E2" s="56" t="s">
        <v>154</v>
      </c>
      <c r="P2" s="24" t="s">
        <v>72</v>
      </c>
      <c r="R2" s="30" t="s">
        <v>113</v>
      </c>
      <c r="S2" s="17"/>
      <c r="T2" s="24" t="s">
        <v>117</v>
      </c>
    </row>
    <row r="3" spans="2:20" ht="11.25">
      <c r="B3" s="3" t="s">
        <v>95</v>
      </c>
      <c r="P3" s="19">
        <v>3</v>
      </c>
      <c r="R3" s="19" t="s">
        <v>104</v>
      </c>
      <c r="S3" s="17"/>
      <c r="T3" s="19">
        <v>60000</v>
      </c>
    </row>
    <row r="4" spans="2:20" ht="11.25">
      <c r="B4" s="61" t="s">
        <v>153</v>
      </c>
      <c r="C4" s="61"/>
      <c r="D4" s="61"/>
      <c r="E4" s="61"/>
      <c r="F4" s="61"/>
      <c r="G4" s="61"/>
      <c r="H4" s="61"/>
      <c r="P4" s="20">
        <v>4</v>
      </c>
      <c r="R4" s="20" t="s">
        <v>114</v>
      </c>
      <c r="S4" s="17"/>
      <c r="T4" s="20">
        <v>50000</v>
      </c>
    </row>
    <row r="5" spans="2:20" ht="11.25">
      <c r="B5" s="61"/>
      <c r="C5" s="61"/>
      <c r="D5" s="61"/>
      <c r="E5" s="61"/>
      <c r="F5" s="61"/>
      <c r="G5" s="61"/>
      <c r="H5" s="61"/>
      <c r="P5" s="20">
        <v>5</v>
      </c>
      <c r="R5" s="20" t="s">
        <v>115</v>
      </c>
      <c r="S5" s="17"/>
      <c r="T5" s="21">
        <v>40000</v>
      </c>
    </row>
    <row r="6" spans="9:18" ht="11.25">
      <c r="I6" s="2" t="s">
        <v>26</v>
      </c>
      <c r="J6" s="51">
        <v>5202</v>
      </c>
      <c r="K6" s="3" t="s">
        <v>14</v>
      </c>
      <c r="P6" s="20">
        <v>6</v>
      </c>
      <c r="R6" s="21" t="s">
        <v>116</v>
      </c>
    </row>
    <row r="7" spans="2:16" ht="11.25">
      <c r="B7" s="7" t="s">
        <v>96</v>
      </c>
      <c r="C7" s="7" t="s">
        <v>3</v>
      </c>
      <c r="D7" s="7" t="s">
        <v>4</v>
      </c>
      <c r="E7" s="7" t="s">
        <v>5</v>
      </c>
      <c r="F7" s="17"/>
      <c r="I7" s="2" t="s">
        <v>15</v>
      </c>
      <c r="J7" s="51">
        <v>709</v>
      </c>
      <c r="K7" s="3" t="s">
        <v>14</v>
      </c>
      <c r="P7" s="20">
        <v>7</v>
      </c>
    </row>
    <row r="8" spans="2:16" ht="11.25">
      <c r="B8" s="3" t="s">
        <v>1</v>
      </c>
      <c r="C8" s="37">
        <f>J7</f>
        <v>709</v>
      </c>
      <c r="D8" s="37">
        <v>0</v>
      </c>
      <c r="E8" s="37">
        <f>J6</f>
        <v>5202</v>
      </c>
      <c r="F8" s="18"/>
      <c r="I8" s="2" t="s">
        <v>16</v>
      </c>
      <c r="J8" s="51">
        <v>0</v>
      </c>
      <c r="K8" s="3" t="s">
        <v>14</v>
      </c>
      <c r="P8" s="20">
        <v>8</v>
      </c>
    </row>
    <row r="9" spans="2:16" ht="11.25">
      <c r="B9" s="3" t="s">
        <v>2</v>
      </c>
      <c r="C9" s="37">
        <f>J9</f>
        <v>0</v>
      </c>
      <c r="D9" s="37">
        <f>J8</f>
        <v>0</v>
      </c>
      <c r="E9" s="37">
        <v>0</v>
      </c>
      <c r="F9" s="18"/>
      <c r="I9" s="2" t="s">
        <v>17</v>
      </c>
      <c r="J9" s="51">
        <v>0</v>
      </c>
      <c r="K9" s="3" t="s">
        <v>14</v>
      </c>
      <c r="P9" s="20">
        <v>9</v>
      </c>
    </row>
    <row r="10" spans="2:20" ht="11.25">
      <c r="B10" s="29" t="s">
        <v>10</v>
      </c>
      <c r="C10" s="38">
        <f>SUM(C8:C9)</f>
        <v>709</v>
      </c>
      <c r="D10" s="38">
        <f>SUM(D8:D9)</f>
        <v>0</v>
      </c>
      <c r="E10" s="38">
        <f>SUM(E8:E9)</f>
        <v>5202</v>
      </c>
      <c r="F10" s="18"/>
      <c r="I10" s="2" t="s">
        <v>97</v>
      </c>
      <c r="J10" s="52">
        <v>3.5</v>
      </c>
      <c r="K10" s="3" t="s">
        <v>7</v>
      </c>
      <c r="P10" s="20">
        <v>10</v>
      </c>
      <c r="T10" s="24" t="s">
        <v>130</v>
      </c>
    </row>
    <row r="11" spans="6:20" ht="11.25">
      <c r="F11" s="18"/>
      <c r="I11" s="2" t="s">
        <v>98</v>
      </c>
      <c r="J11" s="52">
        <v>3.5</v>
      </c>
      <c r="K11" s="3" t="s">
        <v>7</v>
      </c>
      <c r="P11" s="21">
        <v>11</v>
      </c>
      <c r="T11" s="19">
        <v>20</v>
      </c>
    </row>
    <row r="12" spans="2:20" ht="11.25">
      <c r="B12" s="3" t="s">
        <v>38</v>
      </c>
      <c r="I12" s="2" t="s">
        <v>103</v>
      </c>
      <c r="J12" s="53" t="s">
        <v>114</v>
      </c>
      <c r="T12" s="20">
        <v>30</v>
      </c>
    </row>
    <row r="13" spans="2:20" ht="12">
      <c r="B13" s="3" t="s">
        <v>11</v>
      </c>
      <c r="D13" s="3">
        <f>C10+D10</f>
        <v>709</v>
      </c>
      <c r="E13" s="3" t="s">
        <v>14</v>
      </c>
      <c r="F13" s="3">
        <f>IF(D13=MAX($D$13:$D$15),"(governs)","")</f>
      </c>
      <c r="I13" s="2" t="s">
        <v>8</v>
      </c>
      <c r="J13" s="50">
        <v>150</v>
      </c>
      <c r="K13" s="3" t="s">
        <v>9</v>
      </c>
      <c r="T13" s="21">
        <v>40</v>
      </c>
    </row>
    <row r="14" spans="2:18" ht="11.25">
      <c r="B14" s="3" t="s">
        <v>12</v>
      </c>
      <c r="D14" s="3">
        <f>C10+E10</f>
        <v>5911</v>
      </c>
      <c r="E14" s="3" t="s">
        <v>14</v>
      </c>
      <c r="F14" s="3" t="str">
        <f>IF(D14=MAX($D$13:$D$15),"(governs)","")</f>
        <v>(governs)</v>
      </c>
      <c r="I14" s="2" t="s">
        <v>18</v>
      </c>
      <c r="J14" s="54">
        <v>60000</v>
      </c>
      <c r="K14" s="3" t="s">
        <v>19</v>
      </c>
      <c r="P14" s="24" t="s">
        <v>71</v>
      </c>
      <c r="R14" s="24" t="s">
        <v>73</v>
      </c>
    </row>
    <row r="15" spans="2:18" ht="11.25">
      <c r="B15" s="3" t="s">
        <v>13</v>
      </c>
      <c r="D15" s="3">
        <f>C10+0.75*D10+0.75*E10</f>
        <v>4610.5</v>
      </c>
      <c r="E15" s="3" t="s">
        <v>14</v>
      </c>
      <c r="F15" s="3">
        <f>IF(D15=MAX($D$13:$D$15),"(governs)","")</f>
      </c>
      <c r="I15" s="2" t="s">
        <v>23</v>
      </c>
      <c r="J15" s="54">
        <v>3000</v>
      </c>
      <c r="K15" s="3" t="s">
        <v>19</v>
      </c>
      <c r="P15" s="19">
        <v>3</v>
      </c>
      <c r="R15" s="19">
        <v>1</v>
      </c>
    </row>
    <row r="16" spans="9:23" ht="11.25">
      <c r="I16" s="2" t="s">
        <v>20</v>
      </c>
      <c r="J16" s="54">
        <v>1500</v>
      </c>
      <c r="K16" s="3" t="s">
        <v>6</v>
      </c>
      <c r="N16" s="30"/>
      <c r="O16" s="17"/>
      <c r="P16" s="20">
        <v>3.5</v>
      </c>
      <c r="Q16" s="17"/>
      <c r="R16" s="20">
        <v>2</v>
      </c>
      <c r="S16" s="17"/>
      <c r="T16" s="17"/>
      <c r="U16" s="17"/>
      <c r="V16" s="17"/>
      <c r="W16" s="17"/>
    </row>
    <row r="17" spans="2:23" ht="11.25">
      <c r="B17" s="24" t="s">
        <v>32</v>
      </c>
      <c r="I17" s="2" t="s">
        <v>29</v>
      </c>
      <c r="J17" s="55">
        <v>3</v>
      </c>
      <c r="K17" s="3" t="s">
        <v>7</v>
      </c>
      <c r="N17" s="17"/>
      <c r="O17" s="17"/>
      <c r="P17" s="20">
        <v>4</v>
      </c>
      <c r="Q17" s="17"/>
      <c r="R17" s="20">
        <v>3</v>
      </c>
      <c r="S17" s="17"/>
      <c r="T17" s="17"/>
      <c r="U17" s="17"/>
      <c r="V17" s="17"/>
      <c r="W17" s="17"/>
    </row>
    <row r="18" spans="2:23" ht="11.25">
      <c r="B18" s="3" t="s">
        <v>27</v>
      </c>
      <c r="D18" s="2" t="s">
        <v>45</v>
      </c>
      <c r="E18" s="39">
        <f>(MAX(D13:D15))/(J21*J21/144)</f>
        <v>1085.6938775510205</v>
      </c>
      <c r="F18" s="3" t="s">
        <v>6</v>
      </c>
      <c r="I18" s="2" t="s">
        <v>28</v>
      </c>
      <c r="J18" s="55">
        <v>4</v>
      </c>
      <c r="N18" s="17"/>
      <c r="O18" s="17"/>
      <c r="P18" s="20">
        <v>4.5</v>
      </c>
      <c r="Q18" s="17"/>
      <c r="R18" s="20">
        <v>4</v>
      </c>
      <c r="S18" s="17"/>
      <c r="T18" s="17"/>
      <c r="U18" s="17"/>
      <c r="V18" s="17"/>
      <c r="W18" s="17"/>
    </row>
    <row r="19" spans="2:23" ht="11.25">
      <c r="B19" s="3" t="s">
        <v>30</v>
      </c>
      <c r="D19" s="2" t="s">
        <v>31</v>
      </c>
      <c r="E19" s="39">
        <f>J16-J13*(J22/12)-J20*(J19/12)</f>
        <v>1250</v>
      </c>
      <c r="F19" s="3" t="s">
        <v>6</v>
      </c>
      <c r="I19" s="2" t="s">
        <v>24</v>
      </c>
      <c r="J19" s="50">
        <v>12</v>
      </c>
      <c r="K19" s="3" t="s">
        <v>7</v>
      </c>
      <c r="N19" s="17"/>
      <c r="O19" s="17"/>
      <c r="P19" s="20">
        <v>5</v>
      </c>
      <c r="Q19" s="17"/>
      <c r="R19" s="20">
        <v>5</v>
      </c>
      <c r="S19" s="17"/>
      <c r="T19" s="17"/>
      <c r="U19" s="17"/>
      <c r="V19" s="17"/>
      <c r="W19" s="17"/>
    </row>
    <row r="20" spans="2:23" ht="12">
      <c r="B20" s="3" t="s">
        <v>100</v>
      </c>
      <c r="D20" s="2" t="s">
        <v>101</v>
      </c>
      <c r="E20" s="31">
        <f>(E18/E19)*(J21*J21/144)</f>
        <v>4.728800000000001</v>
      </c>
      <c r="F20" s="3" t="s">
        <v>99</v>
      </c>
      <c r="I20" s="22" t="s">
        <v>25</v>
      </c>
      <c r="J20" s="50">
        <v>100</v>
      </c>
      <c r="K20" s="3" t="s">
        <v>9</v>
      </c>
      <c r="M20" s="49"/>
      <c r="N20" s="17"/>
      <c r="O20" s="17"/>
      <c r="P20" s="20">
        <v>5.5</v>
      </c>
      <c r="Q20" s="17"/>
      <c r="R20" s="20">
        <v>6</v>
      </c>
      <c r="S20" s="17"/>
      <c r="T20" s="17"/>
      <c r="U20" s="17"/>
      <c r="V20" s="17"/>
      <c r="W20" s="17"/>
    </row>
    <row r="21" spans="2:23" ht="11.25" customHeight="1">
      <c r="B21" s="3" t="s">
        <v>150</v>
      </c>
      <c r="D21" s="2" t="s">
        <v>102</v>
      </c>
      <c r="E21" s="60">
        <f>J21*J21/144</f>
        <v>5.444444444444445</v>
      </c>
      <c r="F21" s="3" t="s">
        <v>99</v>
      </c>
      <c r="G21" s="9" t="str">
        <f>IF(E21&gt;E20,"OK","NG")</f>
        <v>OK</v>
      </c>
      <c r="I21" s="2" t="s">
        <v>21</v>
      </c>
      <c r="J21" s="55">
        <v>28</v>
      </c>
      <c r="K21" s="3" t="s">
        <v>7</v>
      </c>
      <c r="N21" s="17"/>
      <c r="O21" s="17"/>
      <c r="P21" s="20">
        <v>6</v>
      </c>
      <c r="Q21" s="17"/>
      <c r="R21" s="20">
        <v>7</v>
      </c>
      <c r="S21" s="17"/>
      <c r="T21" s="17"/>
      <c r="U21" s="17"/>
      <c r="V21" s="17"/>
      <c r="W21" s="17"/>
    </row>
    <row r="22" spans="2:23" ht="11.25">
      <c r="B22" s="3" t="s">
        <v>105</v>
      </c>
      <c r="E22" s="39">
        <f>0.66666*((J13*J22*J21*J21)/1728+(J20*J19*J21*J21)/1728-(J20*J19*J10*J11)/1728)</f>
        <v>901.7270937500001</v>
      </c>
      <c r="F22" s="3" t="s">
        <v>14</v>
      </c>
      <c r="I22" s="2" t="s">
        <v>22</v>
      </c>
      <c r="J22" s="55">
        <v>12</v>
      </c>
      <c r="K22" s="3" t="s">
        <v>7</v>
      </c>
      <c r="N22" s="17"/>
      <c r="O22" s="17"/>
      <c r="P22" s="20">
        <v>6.5</v>
      </c>
      <c r="Q22" s="17"/>
      <c r="R22" s="20">
        <v>8</v>
      </c>
      <c r="S22" s="17"/>
      <c r="T22" s="17"/>
      <c r="U22" s="17"/>
      <c r="V22" s="17"/>
      <c r="W22" s="17"/>
    </row>
    <row r="23" spans="9:23" ht="11.25">
      <c r="I23" s="2" t="s">
        <v>156</v>
      </c>
      <c r="J23" s="31">
        <f>SQRT(E21/3.1415926)*12*2</f>
        <v>31.594616948147383</v>
      </c>
      <c r="K23" s="3" t="s">
        <v>7</v>
      </c>
      <c r="N23" s="17"/>
      <c r="O23" s="17"/>
      <c r="P23" s="20">
        <v>7</v>
      </c>
      <c r="Q23" s="17"/>
      <c r="R23" s="20">
        <v>9</v>
      </c>
      <c r="S23" s="17"/>
      <c r="T23" s="17"/>
      <c r="U23" s="17"/>
      <c r="V23" s="17"/>
      <c r="W23" s="17"/>
    </row>
    <row r="24" spans="2:23" ht="11.25">
      <c r="B24" s="3" t="s">
        <v>34</v>
      </c>
      <c r="N24" s="17"/>
      <c r="O24" s="17"/>
      <c r="P24" s="20">
        <v>7.5</v>
      </c>
      <c r="Q24" s="17"/>
      <c r="R24" s="20">
        <v>10</v>
      </c>
      <c r="S24" s="17"/>
      <c r="T24" s="17"/>
      <c r="U24" s="17"/>
      <c r="V24" s="17"/>
      <c r="W24" s="17"/>
    </row>
    <row r="25" spans="2:23" ht="11.25">
      <c r="B25" s="3" t="s">
        <v>35</v>
      </c>
      <c r="D25" s="3">
        <f>1.4*C10</f>
        <v>992.5999999999999</v>
      </c>
      <c r="E25" s="3" t="s">
        <v>14</v>
      </c>
      <c r="F25" s="3">
        <f>IF(D25=MAX($D$25:$D$27),"(governs)","")</f>
      </c>
      <c r="I25" s="24" t="s">
        <v>41</v>
      </c>
      <c r="N25" s="17"/>
      <c r="O25" s="17"/>
      <c r="P25" s="20">
        <v>8</v>
      </c>
      <c r="Q25" s="17"/>
      <c r="R25" s="20">
        <v>11</v>
      </c>
      <c r="S25" s="17"/>
      <c r="T25" s="17"/>
      <c r="U25" s="17"/>
      <c r="V25" s="17"/>
      <c r="W25" s="17"/>
    </row>
    <row r="26" spans="2:23" ht="11.25">
      <c r="B26" s="3" t="s">
        <v>36</v>
      </c>
      <c r="D26" s="3">
        <f>1.2*C10+1.6*D10+0.5*E10</f>
        <v>3451.8</v>
      </c>
      <c r="E26" s="3" t="s">
        <v>14</v>
      </c>
      <c r="F26" s="3">
        <f>IF(D26=MAX($D$25:$D$27),"(governs)","")</f>
      </c>
      <c r="I26" s="2" t="s">
        <v>40</v>
      </c>
      <c r="J26" s="28">
        <f>J22-J17-1.5*(J18/8)</f>
        <v>8.25</v>
      </c>
      <c r="K26" s="3" t="s">
        <v>7</v>
      </c>
      <c r="N26" s="17"/>
      <c r="O26" s="17"/>
      <c r="P26" s="20">
        <v>9</v>
      </c>
      <c r="Q26" s="17"/>
      <c r="R26" s="20">
        <v>12</v>
      </c>
      <c r="S26" s="17"/>
      <c r="T26" s="17"/>
      <c r="U26" s="17"/>
      <c r="V26" s="17"/>
      <c r="W26" s="17"/>
    </row>
    <row r="27" spans="2:23" ht="11.25">
      <c r="B27" s="3" t="s">
        <v>37</v>
      </c>
      <c r="D27" s="3">
        <f>1.2*C10+1.6*E10+D10</f>
        <v>9174</v>
      </c>
      <c r="E27" s="3" t="s">
        <v>14</v>
      </c>
      <c r="F27" s="3" t="str">
        <f>IF(D27=MAX($D$25:$D$27),"(governs)","")</f>
        <v>(governs)</v>
      </c>
      <c r="N27" s="17"/>
      <c r="O27" s="17"/>
      <c r="P27" s="20">
        <v>10</v>
      </c>
      <c r="Q27" s="17"/>
      <c r="R27" s="20">
        <v>13</v>
      </c>
      <c r="S27" s="17"/>
      <c r="T27" s="17"/>
      <c r="U27" s="17"/>
      <c r="V27" s="17"/>
      <c r="W27" s="17"/>
    </row>
    <row r="28" spans="7:23" ht="11.25">
      <c r="G28" s="1"/>
      <c r="H28" s="24" t="s">
        <v>106</v>
      </c>
      <c r="N28" s="17"/>
      <c r="O28" s="17"/>
      <c r="P28" s="20">
        <v>12</v>
      </c>
      <c r="Q28" s="17"/>
      <c r="R28" s="20">
        <v>14</v>
      </c>
      <c r="S28" s="17"/>
      <c r="T28" s="17"/>
      <c r="U28" s="17"/>
      <c r="V28" s="17"/>
      <c r="W28" s="17"/>
    </row>
    <row r="29" spans="2:23" ht="11.25">
      <c r="B29" s="24" t="s">
        <v>33</v>
      </c>
      <c r="H29" s="24"/>
      <c r="I29" s="2" t="s">
        <v>109</v>
      </c>
      <c r="J29" s="31">
        <f>SQRT((J21*J21)/(J10*J11))</f>
        <v>8</v>
      </c>
      <c r="N29" s="17"/>
      <c r="O29" s="17"/>
      <c r="P29" s="20">
        <v>14</v>
      </c>
      <c r="Q29" s="17"/>
      <c r="R29" s="20">
        <v>15</v>
      </c>
      <c r="S29" s="17"/>
      <c r="T29" s="17"/>
      <c r="U29" s="17"/>
      <c r="V29" s="17"/>
      <c r="W29" s="17"/>
    </row>
    <row r="30" spans="2:23" ht="11.25">
      <c r="B30" s="3" t="s">
        <v>107</v>
      </c>
      <c r="D30" s="2" t="s">
        <v>39</v>
      </c>
      <c r="E30" s="39">
        <f>(MAX(D25:D27))/(J21*J21/144)</f>
        <v>1685.0204081632653</v>
      </c>
      <c r="F30" s="3" t="s">
        <v>6</v>
      </c>
      <c r="I30" s="2" t="s">
        <v>108</v>
      </c>
      <c r="J30" s="39">
        <f>MAX(D25:D27)</f>
        <v>9174</v>
      </c>
      <c r="K30" s="3" t="s">
        <v>14</v>
      </c>
      <c r="N30" s="17"/>
      <c r="O30" s="17"/>
      <c r="P30" s="20">
        <v>16</v>
      </c>
      <c r="Q30" s="17"/>
      <c r="R30" s="20">
        <v>16</v>
      </c>
      <c r="S30" s="17"/>
      <c r="T30" s="17"/>
      <c r="U30" s="17"/>
      <c r="V30" s="17"/>
      <c r="W30" s="17"/>
    </row>
    <row r="31" spans="2:23" ht="11.25">
      <c r="B31" s="3" t="s">
        <v>42</v>
      </c>
      <c r="D31" s="2" t="s">
        <v>125</v>
      </c>
      <c r="E31" s="39">
        <f>E30*J21*(J21/2-J10/2-J26)/144</f>
        <v>1310.5714285714284</v>
      </c>
      <c r="F31" s="3" t="s">
        <v>14</v>
      </c>
      <c r="I31" s="2" t="s">
        <v>112</v>
      </c>
      <c r="J31" s="39">
        <f>IF(J29&gt;2,0.65*0.85*J15*J10*J11*2,0.65*0.85*J15*J10*J11*J29)</f>
        <v>40608.75</v>
      </c>
      <c r="K31" s="3" t="s">
        <v>141</v>
      </c>
      <c r="N31" s="17"/>
      <c r="O31" s="17"/>
      <c r="P31" s="21">
        <v>18</v>
      </c>
      <c r="Q31" s="17"/>
      <c r="R31" s="20">
        <v>17</v>
      </c>
      <c r="S31" s="17"/>
      <c r="T31" s="17"/>
      <c r="U31" s="17"/>
      <c r="V31" s="17"/>
      <c r="W31" s="17"/>
    </row>
    <row r="32" spans="2:23" ht="11.25">
      <c r="B32" s="3" t="s">
        <v>43</v>
      </c>
      <c r="D32" s="2" t="s">
        <v>44</v>
      </c>
      <c r="E32" s="39">
        <f>J26*0.75*2*I58*SQRT(J15)*J21</f>
        <v>18978.586617554007</v>
      </c>
      <c r="F32" s="3" t="s">
        <v>138</v>
      </c>
      <c r="I32" s="2" t="s">
        <v>101</v>
      </c>
      <c r="J32" s="23">
        <f>(J30/J31)*(J10*J11)</f>
        <v>2.767420814479638</v>
      </c>
      <c r="K32" s="3" t="s">
        <v>111</v>
      </c>
      <c r="N32" s="17"/>
      <c r="O32" s="17"/>
      <c r="P32" s="17"/>
      <c r="Q32" s="17"/>
      <c r="R32" s="20">
        <v>18</v>
      </c>
      <c r="S32" s="17"/>
      <c r="T32" s="17"/>
      <c r="U32" s="17"/>
      <c r="V32" s="17"/>
      <c r="W32" s="17"/>
    </row>
    <row r="33" spans="2:23" ht="12.75">
      <c r="B33" s="3" t="s">
        <v>46</v>
      </c>
      <c r="D33" s="2" t="s">
        <v>48</v>
      </c>
      <c r="E33" s="23">
        <f>(E31/E32)*J22</f>
        <v>0.8286632434635981</v>
      </c>
      <c r="F33" s="3" t="s">
        <v>7</v>
      </c>
      <c r="I33" s="2" t="s">
        <v>110</v>
      </c>
      <c r="J33" s="26">
        <f>J10*J11</f>
        <v>12.25</v>
      </c>
      <c r="K33" s="3" t="s">
        <v>111</v>
      </c>
      <c r="L33" s="9" t="str">
        <f>IF(J33&gt;J32,"OK","NG")</f>
        <v>OK</v>
      </c>
      <c r="N33" s="17"/>
      <c r="O33" s="17"/>
      <c r="P33" s="17"/>
      <c r="Q33" s="17"/>
      <c r="R33" s="20">
        <v>19</v>
      </c>
      <c r="S33" s="17"/>
      <c r="T33" s="17"/>
      <c r="U33" s="17"/>
      <c r="V33" s="17"/>
      <c r="W33" s="17"/>
    </row>
    <row r="34" spans="2:23" ht="12.75">
      <c r="B34" s="3" t="s">
        <v>47</v>
      </c>
      <c r="D34" s="3" t="s">
        <v>49</v>
      </c>
      <c r="E34" s="26">
        <f>J22</f>
        <v>12</v>
      </c>
      <c r="F34" s="3" t="s">
        <v>7</v>
      </c>
      <c r="G34" s="9" t="str">
        <f>IF(E34&gt;E33,"OK","NG")</f>
        <v>OK</v>
      </c>
      <c r="N34" s="17"/>
      <c r="O34" s="17"/>
      <c r="P34" s="17"/>
      <c r="Q34" s="17"/>
      <c r="R34" s="21">
        <v>20</v>
      </c>
      <c r="S34" s="17"/>
      <c r="T34" s="17"/>
      <c r="U34" s="17"/>
      <c r="V34" s="17"/>
      <c r="W34" s="17"/>
    </row>
    <row r="35" spans="8:23" ht="11.25">
      <c r="H35" s="24" t="s">
        <v>51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2:12" ht="11.25">
      <c r="B36" s="24" t="s">
        <v>119</v>
      </c>
      <c r="H36" s="3" t="s">
        <v>52</v>
      </c>
      <c r="J36" s="2" t="s">
        <v>53</v>
      </c>
      <c r="K36" s="31">
        <f>(J21/2-J10/2)</f>
        <v>12.25</v>
      </c>
      <c r="L36" s="3" t="s">
        <v>7</v>
      </c>
    </row>
    <row r="37" spans="2:12" ht="11.25">
      <c r="B37" s="3" t="s">
        <v>120</v>
      </c>
      <c r="D37" s="2" t="s">
        <v>127</v>
      </c>
      <c r="E37" s="40">
        <f>2*(J10+J26)+2*(J11+J26)</f>
        <v>47</v>
      </c>
      <c r="F37" s="3" t="s">
        <v>7</v>
      </c>
      <c r="H37" s="3" t="s">
        <v>147</v>
      </c>
      <c r="J37" s="22" t="s">
        <v>148</v>
      </c>
      <c r="K37" s="31">
        <f>E56*J14/(0.85*J15*J21)</f>
        <v>0.6599984453781513</v>
      </c>
      <c r="L37" s="3" t="s">
        <v>149</v>
      </c>
    </row>
    <row r="38" spans="2:12" ht="11.25">
      <c r="B38" s="3" t="s">
        <v>129</v>
      </c>
      <c r="D38" s="2" t="s">
        <v>131</v>
      </c>
      <c r="E38" s="23">
        <f>IF(J10/J11&gt;J11/J10,J10/J11,J11/J10)</f>
        <v>1</v>
      </c>
      <c r="H38" s="3" t="s">
        <v>139</v>
      </c>
      <c r="J38" s="2" t="s">
        <v>55</v>
      </c>
      <c r="K38" s="39">
        <f>(E30/144)*J21*K36*K36/2</f>
        <v>24583.453125000004</v>
      </c>
      <c r="L38" s="3" t="s">
        <v>54</v>
      </c>
    </row>
    <row r="39" spans="2:12" ht="11.25">
      <c r="B39" s="3" t="s">
        <v>130</v>
      </c>
      <c r="D39" s="2" t="s">
        <v>132</v>
      </c>
      <c r="E39" s="6">
        <v>30</v>
      </c>
      <c r="H39" s="3" t="s">
        <v>143</v>
      </c>
      <c r="J39" s="2" t="s">
        <v>144</v>
      </c>
      <c r="K39" s="39">
        <f>0.9*(J26-K37/2)*E56*J14</f>
        <v>335899.1137589223</v>
      </c>
      <c r="L39" s="3" t="s">
        <v>54</v>
      </c>
    </row>
    <row r="40" spans="2:6" ht="11.25">
      <c r="B40" s="3" t="s">
        <v>121</v>
      </c>
      <c r="D40" s="2" t="s">
        <v>126</v>
      </c>
      <c r="E40" s="39">
        <f>E30*(J21*J21-(J10+J26)*(J11+J26))/144</f>
        <v>7558.45742984694</v>
      </c>
      <c r="F40" s="3" t="s">
        <v>14</v>
      </c>
    </row>
    <row r="41" spans="2:8" ht="11.25">
      <c r="B41" s="3" t="s">
        <v>122</v>
      </c>
      <c r="D41" s="2" t="s">
        <v>123</v>
      </c>
      <c r="E41" s="39">
        <f>0.75*(2+4/E38)*I58*SQRT(J15)*E37*J26</f>
        <v>95570.73975268267</v>
      </c>
      <c r="F41" s="3" t="s">
        <v>135</v>
      </c>
      <c r="H41" s="24" t="s">
        <v>51</v>
      </c>
    </row>
    <row r="42" spans="2:8" ht="11.25">
      <c r="B42" s="3" t="s">
        <v>122</v>
      </c>
      <c r="D42" s="2" t="s">
        <v>133</v>
      </c>
      <c r="E42" s="39">
        <f>0.75*((E39*J26)/E37+2)*I58*SQRT(J15)*E37*J26</f>
        <v>115735.48803383381</v>
      </c>
      <c r="F42" s="3" t="s">
        <v>136</v>
      </c>
      <c r="H42" s="24" t="s">
        <v>50</v>
      </c>
    </row>
    <row r="43" spans="2:11" ht="11.25">
      <c r="B43" s="3" t="s">
        <v>122</v>
      </c>
      <c r="D43" s="2" t="s">
        <v>134</v>
      </c>
      <c r="E43" s="39">
        <f>0.75*4*I58*SQRT(J15)*E37*J26</f>
        <v>63713.82650178845</v>
      </c>
      <c r="F43" s="3" t="s">
        <v>137</v>
      </c>
      <c r="I43" s="2" t="s">
        <v>56</v>
      </c>
      <c r="J43" s="23">
        <f>J21*(J22-2)^2/6</f>
        <v>466.6666666666667</v>
      </c>
      <c r="K43" s="3" t="s">
        <v>57</v>
      </c>
    </row>
    <row r="44" spans="2:11" ht="11.25" customHeight="1">
      <c r="B44" s="3" t="s">
        <v>124</v>
      </c>
      <c r="D44" s="2" t="s">
        <v>128</v>
      </c>
      <c r="E44" s="39">
        <f>MIN(E41:E43)</f>
        <v>63713.82650178845</v>
      </c>
      <c r="F44" s="3" t="s">
        <v>14</v>
      </c>
      <c r="I44" s="2" t="s">
        <v>55</v>
      </c>
      <c r="J44" s="39">
        <f>K38</f>
        <v>24583.453125000004</v>
      </c>
      <c r="K44" s="3" t="s">
        <v>54</v>
      </c>
    </row>
    <row r="45" spans="2:11" ht="11.25">
      <c r="B45" s="3" t="s">
        <v>46</v>
      </c>
      <c r="D45" s="2" t="s">
        <v>48</v>
      </c>
      <c r="E45" s="23">
        <f>(E40/E44)*J22</f>
        <v>1.4235762335765108</v>
      </c>
      <c r="F45" s="3" t="s">
        <v>7</v>
      </c>
      <c r="I45" s="2" t="s">
        <v>58</v>
      </c>
      <c r="J45" s="39">
        <f>0.6*5*I58*SQRT(J15)*J43</f>
        <v>76681.15805072326</v>
      </c>
      <c r="K45" s="3" t="s">
        <v>140</v>
      </c>
    </row>
    <row r="46" spans="2:11" ht="12.75">
      <c r="B46" s="3" t="s">
        <v>47</v>
      </c>
      <c r="D46" s="3" t="s">
        <v>49</v>
      </c>
      <c r="E46" s="26">
        <f>J22</f>
        <v>12</v>
      </c>
      <c r="F46" s="3" t="s">
        <v>7</v>
      </c>
      <c r="G46" s="9" t="str">
        <f>IF(E46&gt;E45,"OK","NG")</f>
        <v>OK</v>
      </c>
      <c r="I46" s="2" t="s">
        <v>48</v>
      </c>
      <c r="J46" s="23">
        <f>(J44/J45)*J22</f>
        <v>3.847117662266677</v>
      </c>
      <c r="K46" s="3" t="s">
        <v>7</v>
      </c>
    </row>
    <row r="47" spans="9:12" ht="12.75">
      <c r="I47" s="3" t="s">
        <v>49</v>
      </c>
      <c r="J47" s="26">
        <f>J22</f>
        <v>12</v>
      </c>
      <c r="K47" s="3" t="s">
        <v>7</v>
      </c>
      <c r="L47" s="9" t="str">
        <f>IF(J47&gt;J46,"OK","NG")</f>
        <v>OK</v>
      </c>
    </row>
    <row r="48" spans="2:8" ht="11.25">
      <c r="B48" s="24" t="s">
        <v>118</v>
      </c>
      <c r="H48" s="25"/>
    </row>
    <row r="49" spans="2:6" ht="11.25">
      <c r="B49" s="3" t="s">
        <v>145</v>
      </c>
      <c r="D49" s="2" t="s">
        <v>59</v>
      </c>
      <c r="E49" s="23">
        <f>K38/(0.9*J21*J26*J26)</f>
        <v>14.33291245791246</v>
      </c>
      <c r="F49" s="3" t="s">
        <v>19</v>
      </c>
    </row>
    <row r="50" spans="2:5" ht="11.25">
      <c r="B50" s="3" t="s">
        <v>60</v>
      </c>
      <c r="D50" s="2" t="s">
        <v>61</v>
      </c>
      <c r="E50" s="27">
        <f>(0.85*J15/J14)*(1-SQRT(1-(2*E49)/(0.85*J15)))</f>
        <v>0.00023955702214393417</v>
      </c>
    </row>
    <row r="51" spans="2:6" ht="11.25">
      <c r="B51" s="3" t="s">
        <v>62</v>
      </c>
      <c r="D51" s="2" t="s">
        <v>65</v>
      </c>
      <c r="E51" s="28">
        <f>E50*J21*J26</f>
        <v>0.055337672115248794</v>
      </c>
      <c r="F51" s="3" t="s">
        <v>64</v>
      </c>
    </row>
    <row r="52" spans="2:6" ht="11.25">
      <c r="B52" s="3" t="s">
        <v>63</v>
      </c>
      <c r="D52" s="2" t="s">
        <v>66</v>
      </c>
      <c r="E52" s="28">
        <f>IF(J$14&gt;=60000,0.0018*J21*J$22,0.002*J21*J$22)</f>
        <v>0.6048</v>
      </c>
      <c r="F52" s="3" t="s">
        <v>142</v>
      </c>
    </row>
    <row r="53" spans="2:6" ht="11.25">
      <c r="B53" s="3" t="s">
        <v>67</v>
      </c>
      <c r="D53" s="2" t="s">
        <v>68</v>
      </c>
      <c r="E53" s="28">
        <f>MAX(E51:E52)</f>
        <v>0.6048</v>
      </c>
      <c r="F53" s="3" t="s">
        <v>64</v>
      </c>
    </row>
    <row r="54" spans="2:5" ht="11.25">
      <c r="B54" s="3" t="str">
        <f>CONCATENATE("Required number of #",J2," bars =")</f>
        <v>Required number of # bars =</v>
      </c>
      <c r="E54" s="31">
        <f>(4*E53)/(3.1415926*($J$18/8)^2)</f>
        <v>3.080221159166214</v>
      </c>
    </row>
    <row r="55" spans="2:7" ht="11.25">
      <c r="B55" s="3" t="s">
        <v>74</v>
      </c>
      <c r="E55" s="58">
        <v>4</v>
      </c>
      <c r="F55" s="25" t="str">
        <f>CONCATENATE("- #",J18," bars each way")</f>
        <v>- #4 bars each way</v>
      </c>
      <c r="G55" s="25"/>
    </row>
    <row r="56" spans="2:7" ht="12.75">
      <c r="B56" s="3" t="s">
        <v>69</v>
      </c>
      <c r="D56" s="2" t="s">
        <v>70</v>
      </c>
      <c r="E56" s="31">
        <f>E55*(3.1415926*(J18/8)^2/4)</f>
        <v>0.78539815</v>
      </c>
      <c r="F56" s="3" t="s">
        <v>64</v>
      </c>
      <c r="G56" s="9" t="str">
        <f>IF(E56&gt;E53,"OK","NG")</f>
        <v>OK</v>
      </c>
    </row>
    <row r="57" spans="2:5" ht="11.25">
      <c r="B57" s="5"/>
      <c r="D57" s="32"/>
      <c r="E57" s="25"/>
    </row>
    <row r="58" spans="2:10" ht="12.75">
      <c r="B58" s="24" t="s">
        <v>75</v>
      </c>
      <c r="G58" s="9"/>
      <c r="H58" s="22" t="s">
        <v>76</v>
      </c>
      <c r="I58" s="51">
        <v>1</v>
      </c>
      <c r="J58" s="3" t="s">
        <v>82</v>
      </c>
    </row>
    <row r="59" spans="2:10" ht="11.25">
      <c r="B59" s="3" t="s">
        <v>86</v>
      </c>
      <c r="D59" s="2" t="s">
        <v>80</v>
      </c>
      <c r="E59" s="23">
        <f>IF(0.5*((J21-6)/(E55-1))&lt;3,0.5*((J21-6)/(E55-1)),3)</f>
        <v>3</v>
      </c>
      <c r="F59" s="3" t="s">
        <v>7</v>
      </c>
      <c r="H59" s="22" t="s">
        <v>77</v>
      </c>
      <c r="I59" s="51">
        <v>1</v>
      </c>
      <c r="J59" s="3" t="s">
        <v>83</v>
      </c>
    </row>
    <row r="60" spans="2:10" ht="11.25">
      <c r="B60" s="3" t="s">
        <v>88</v>
      </c>
      <c r="D60" s="2" t="s">
        <v>89</v>
      </c>
      <c r="E60" s="3">
        <f>(E59+I62)/(J18/8)</f>
        <v>6</v>
      </c>
      <c r="F60" s="3" t="str">
        <f>IF(E60&gt;2.5,"(use 2.5)","")</f>
        <v>(use 2.5)</v>
      </c>
      <c r="H60" s="22" t="s">
        <v>78</v>
      </c>
      <c r="I60" s="51">
        <v>1</v>
      </c>
      <c r="J60" s="3" t="s">
        <v>84</v>
      </c>
    </row>
    <row r="61" spans="2:10" ht="11.25">
      <c r="B61" s="3" t="s">
        <v>90</v>
      </c>
      <c r="D61" s="2" t="s">
        <v>92</v>
      </c>
      <c r="E61" s="23">
        <f>IF(E60&gt;2.5,(E53/E56)*(J18/8)*(3*J14*I59*I60*I61*I58)/(40*SQRT(J15)*2.5),(E53/E56)*(J18/8)*(3*J14*I59*I60*I61*I58)/(40*SQRT(J15)*E60))</f>
        <v>10.122639665880275</v>
      </c>
      <c r="F61" s="3" t="s">
        <v>146</v>
      </c>
      <c r="H61" s="22" t="s">
        <v>79</v>
      </c>
      <c r="I61" s="59">
        <f>IF(J18&gt;6,1,0.8)</f>
        <v>0.8</v>
      </c>
      <c r="J61" s="3" t="s">
        <v>85</v>
      </c>
    </row>
    <row r="62" spans="2:10" ht="11.25">
      <c r="B62" s="3" t="s">
        <v>91</v>
      </c>
      <c r="D62" s="2" t="s">
        <v>93</v>
      </c>
      <c r="E62" s="3">
        <f>IF(J21/2-3-J10/2&lt;0,0,J21/2-3-J10/2)</f>
        <v>9.25</v>
      </c>
      <c r="F62" s="3" t="s">
        <v>7</v>
      </c>
      <c r="H62" s="22" t="s">
        <v>81</v>
      </c>
      <c r="I62" s="51">
        <v>0</v>
      </c>
      <c r="J62" s="3" t="s">
        <v>87</v>
      </c>
    </row>
    <row r="63" ht="11.25">
      <c r="B63" s="5" t="str">
        <f>IF(J45&gt;J44,"Note: Plain concrete adequate for bending, therefore development length not required.","Note: Plain concrete inadequate for bending, therefore development length is required.")</f>
        <v>Note: Plain concrete adequate for bending, therefore development length not required.</v>
      </c>
    </row>
    <row r="64" spans="14:22" ht="11.25">
      <c r="N64" s="17"/>
      <c r="O64" s="17"/>
      <c r="P64" s="17"/>
      <c r="Q64" s="17"/>
      <c r="R64" s="17"/>
      <c r="S64" s="17"/>
      <c r="T64" s="17"/>
      <c r="U64" s="17"/>
      <c r="V64" s="17"/>
    </row>
    <row r="65" spans="2:22" ht="12.75">
      <c r="B65" s="46" t="s">
        <v>152</v>
      </c>
      <c r="C65" s="47"/>
      <c r="D65" s="47"/>
      <c r="E65" s="47"/>
      <c r="F65" s="46" t="s">
        <v>157</v>
      </c>
      <c r="H65" s="47"/>
      <c r="I65" s="47"/>
      <c r="J65" s="47"/>
      <c r="K65" s="47"/>
      <c r="L65" s="48" t="s">
        <v>151</v>
      </c>
      <c r="N65" s="17"/>
      <c r="O65" s="17"/>
      <c r="P65" s="17"/>
      <c r="Q65" s="34"/>
      <c r="R65" s="17"/>
      <c r="S65" s="17"/>
      <c r="T65" s="17"/>
      <c r="U65" s="17"/>
      <c r="V65" s="17"/>
    </row>
    <row r="66" spans="14:22" ht="11.25">
      <c r="N66" s="17"/>
      <c r="O66" s="17"/>
      <c r="P66" s="17"/>
      <c r="Q66" s="17"/>
      <c r="R66" s="17"/>
      <c r="S66" s="17"/>
      <c r="T66" s="17"/>
      <c r="U66" s="17"/>
      <c r="V66" s="17"/>
    </row>
    <row r="67" spans="2:22" ht="11.25">
      <c r="B67" s="30"/>
      <c r="C67" s="17"/>
      <c r="D67" s="17"/>
      <c r="E67" s="17"/>
      <c r="F67" s="17"/>
      <c r="G67" s="17"/>
      <c r="H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2:22" ht="11.25">
      <c r="B68" s="17"/>
      <c r="C68" s="17"/>
      <c r="D68" s="41"/>
      <c r="E68" s="42"/>
      <c r="F68" s="17"/>
      <c r="G68" s="17"/>
      <c r="H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2:22" ht="11.25">
      <c r="B69" s="17"/>
      <c r="C69" s="17"/>
      <c r="D69" s="41"/>
      <c r="E69" s="42"/>
      <c r="F69" s="17"/>
      <c r="G69" s="17"/>
      <c r="H69" s="17"/>
      <c r="N69" s="13"/>
      <c r="O69" s="13"/>
      <c r="P69" s="13"/>
      <c r="Q69" s="13"/>
      <c r="R69" s="13"/>
      <c r="S69" s="13"/>
      <c r="T69" s="13"/>
      <c r="U69" s="13"/>
      <c r="V69" s="17"/>
    </row>
    <row r="70" spans="2:22" ht="11.25">
      <c r="B70" s="17"/>
      <c r="C70" s="17"/>
      <c r="D70" s="17"/>
      <c r="E70" s="43"/>
      <c r="F70" s="17"/>
      <c r="G70" s="17"/>
      <c r="H70" s="17"/>
      <c r="N70" s="13"/>
      <c r="O70" s="13"/>
      <c r="P70" s="13"/>
      <c r="Q70" s="13"/>
      <c r="R70" s="13"/>
      <c r="S70" s="13"/>
      <c r="T70" s="13"/>
      <c r="U70" s="13"/>
      <c r="V70" s="17"/>
    </row>
    <row r="71" spans="2:22" ht="11.25">
      <c r="B71" s="17"/>
      <c r="C71" s="17"/>
      <c r="D71" s="17"/>
      <c r="E71" s="44"/>
      <c r="F71" s="44"/>
      <c r="G71" s="44"/>
      <c r="H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2:22" ht="12.75">
      <c r="B72" s="17"/>
      <c r="C72" s="17"/>
      <c r="D72" s="41"/>
      <c r="E72" s="45"/>
      <c r="F72" s="17"/>
      <c r="G72" s="34"/>
      <c r="H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4:22" ht="11.25">
      <c r="N73" s="10"/>
      <c r="O73" s="11"/>
      <c r="P73" s="17"/>
      <c r="Q73" s="35"/>
      <c r="R73" s="15"/>
      <c r="S73" s="12"/>
      <c r="T73" s="14"/>
      <c r="U73" s="11"/>
      <c r="V73" s="17"/>
    </row>
    <row r="74" spans="14:22" ht="11.25">
      <c r="N74" s="11"/>
      <c r="O74" s="11"/>
      <c r="P74" s="11"/>
      <c r="Q74" s="11"/>
      <c r="R74" s="17"/>
      <c r="S74" s="36"/>
      <c r="T74" s="11"/>
      <c r="U74" s="11"/>
      <c r="V74" s="17"/>
    </row>
    <row r="75" spans="14:22" ht="11.25">
      <c r="N75" s="11"/>
      <c r="O75" s="11"/>
      <c r="P75" s="33"/>
      <c r="Q75" s="33"/>
      <c r="R75" s="33"/>
      <c r="S75" s="33"/>
      <c r="T75" s="15"/>
      <c r="U75" s="11"/>
      <c r="V75" s="17"/>
    </row>
    <row r="76" spans="14:22" ht="12.75">
      <c r="N76" s="11"/>
      <c r="O76" s="11"/>
      <c r="P76" s="15"/>
      <c r="Q76" s="11"/>
      <c r="R76" s="11"/>
      <c r="S76" s="11"/>
      <c r="T76" s="8"/>
      <c r="U76" s="34"/>
      <c r="V76" s="17"/>
    </row>
    <row r="77" spans="14:22" ht="11.25">
      <c r="N77" s="11"/>
      <c r="O77" s="11"/>
      <c r="P77" s="11"/>
      <c r="Q77" s="11"/>
      <c r="R77" s="11"/>
      <c r="S77" s="11"/>
      <c r="T77" s="11"/>
      <c r="U77" s="11"/>
      <c r="V77" s="17"/>
    </row>
    <row r="78" spans="14:22" ht="11.25">
      <c r="N78" s="13"/>
      <c r="O78" s="13"/>
      <c r="P78" s="13"/>
      <c r="Q78" s="13"/>
      <c r="R78" s="13"/>
      <c r="S78" s="13"/>
      <c r="T78" s="13"/>
      <c r="U78" s="11"/>
      <c r="V78" s="17"/>
    </row>
    <row r="79" spans="14:22" ht="11.25">
      <c r="N79" s="17"/>
      <c r="O79" s="17"/>
      <c r="P79" s="17"/>
      <c r="Q79" s="17"/>
      <c r="R79" s="17"/>
      <c r="S79" s="17"/>
      <c r="T79" s="17"/>
      <c r="U79" s="17"/>
      <c r="V79" s="17"/>
    </row>
    <row r="80" spans="14:22" ht="11.25">
      <c r="N80" s="10"/>
      <c r="O80" s="11"/>
      <c r="P80" s="17"/>
      <c r="Q80" s="35"/>
      <c r="R80" s="15"/>
      <c r="S80" s="12"/>
      <c r="T80" s="14"/>
      <c r="U80" s="11"/>
      <c r="V80" s="17"/>
    </row>
    <row r="81" spans="14:22" ht="11.25">
      <c r="N81" s="11"/>
      <c r="O81" s="11"/>
      <c r="P81" s="11"/>
      <c r="Q81" s="11"/>
      <c r="R81" s="17"/>
      <c r="S81" s="36"/>
      <c r="T81" s="11"/>
      <c r="U81" s="11"/>
      <c r="V81" s="17"/>
    </row>
    <row r="82" spans="14:22" ht="11.25">
      <c r="N82" s="11"/>
      <c r="O82" s="11"/>
      <c r="P82" s="33"/>
      <c r="Q82" s="33"/>
      <c r="R82" s="33"/>
      <c r="S82" s="33"/>
      <c r="T82" s="15"/>
      <c r="U82" s="11"/>
      <c r="V82" s="17"/>
    </row>
    <row r="83" spans="14:22" ht="12.75">
      <c r="N83" s="11"/>
      <c r="O83" s="11"/>
      <c r="P83" s="15"/>
      <c r="Q83" s="11"/>
      <c r="R83" s="11"/>
      <c r="S83" s="11"/>
      <c r="T83" s="8"/>
      <c r="U83" s="34"/>
      <c r="V83" s="17"/>
    </row>
    <row r="84" spans="14:22" ht="11.25">
      <c r="N84" s="11"/>
      <c r="O84" s="11"/>
      <c r="P84" s="11"/>
      <c r="Q84" s="11"/>
      <c r="R84" s="11"/>
      <c r="S84" s="11"/>
      <c r="T84" s="11"/>
      <c r="U84" s="11"/>
      <c r="V84" s="17"/>
    </row>
    <row r="85" spans="14:22" ht="11.25">
      <c r="N85" s="13"/>
      <c r="O85" s="13"/>
      <c r="P85" s="13"/>
      <c r="Q85" s="13"/>
      <c r="R85" s="13"/>
      <c r="S85" s="13"/>
      <c r="T85" s="13"/>
      <c r="U85" s="11"/>
      <c r="V85" s="17"/>
    </row>
    <row r="86" spans="14:22" ht="11.25">
      <c r="N86" s="17"/>
      <c r="O86" s="17"/>
      <c r="P86" s="17"/>
      <c r="Q86" s="17"/>
      <c r="R86" s="17"/>
      <c r="S86" s="17"/>
      <c r="T86" s="17"/>
      <c r="U86" s="17"/>
      <c r="V86" s="17"/>
    </row>
    <row r="87" spans="14:22" ht="11.25">
      <c r="N87" s="10"/>
      <c r="O87" s="11"/>
      <c r="P87" s="17"/>
      <c r="Q87" s="35"/>
      <c r="R87" s="15"/>
      <c r="S87" s="12"/>
      <c r="T87" s="14"/>
      <c r="U87" s="11"/>
      <c r="V87" s="17"/>
    </row>
    <row r="88" spans="14:22" ht="11.25">
      <c r="N88" s="11"/>
      <c r="O88" s="11"/>
      <c r="P88" s="11"/>
      <c r="Q88" s="11"/>
      <c r="R88" s="17"/>
      <c r="S88" s="36"/>
      <c r="T88" s="11"/>
      <c r="U88" s="11"/>
      <c r="V88" s="17"/>
    </row>
    <row r="89" spans="14:22" ht="11.25">
      <c r="N89" s="11"/>
      <c r="O89" s="11"/>
      <c r="P89" s="33"/>
      <c r="Q89" s="33"/>
      <c r="R89" s="33"/>
      <c r="S89" s="33"/>
      <c r="T89" s="15"/>
      <c r="U89" s="11"/>
      <c r="V89" s="17"/>
    </row>
    <row r="90" spans="14:22" ht="12.75">
      <c r="N90" s="11"/>
      <c r="O90" s="11"/>
      <c r="P90" s="15"/>
      <c r="Q90" s="11"/>
      <c r="R90" s="11"/>
      <c r="S90" s="11"/>
      <c r="T90" s="8"/>
      <c r="U90" s="34"/>
      <c r="V90" s="17"/>
    </row>
    <row r="91" spans="14:22" ht="11.25">
      <c r="N91" s="11"/>
      <c r="O91" s="11"/>
      <c r="P91" s="11"/>
      <c r="Q91" s="11"/>
      <c r="R91" s="11"/>
      <c r="S91" s="11"/>
      <c r="T91" s="11"/>
      <c r="U91" s="11"/>
      <c r="V91" s="17"/>
    </row>
    <row r="92" spans="14:22" ht="11.25">
      <c r="N92" s="13"/>
      <c r="O92" s="13"/>
      <c r="P92" s="13"/>
      <c r="Q92" s="13"/>
      <c r="R92" s="13"/>
      <c r="S92" s="13"/>
      <c r="T92" s="13"/>
      <c r="U92" s="11"/>
      <c r="V92" s="17"/>
    </row>
    <row r="93" spans="14:22" ht="11.25">
      <c r="N93" s="17"/>
      <c r="O93" s="17"/>
      <c r="P93" s="17"/>
      <c r="Q93" s="17"/>
      <c r="R93" s="17"/>
      <c r="S93" s="17"/>
      <c r="T93" s="17"/>
      <c r="U93" s="17"/>
      <c r="V93" s="17"/>
    </row>
    <row r="94" spans="14:22" ht="11.25">
      <c r="N94" s="10"/>
      <c r="O94" s="11"/>
      <c r="P94" s="17"/>
      <c r="Q94" s="35"/>
      <c r="R94" s="15"/>
      <c r="S94" s="12"/>
      <c r="T94" s="14"/>
      <c r="U94" s="11"/>
      <c r="V94" s="17"/>
    </row>
    <row r="95" spans="14:22" ht="11.25">
      <c r="N95" s="11"/>
      <c r="O95" s="11"/>
      <c r="P95" s="11"/>
      <c r="Q95" s="11"/>
      <c r="R95" s="17"/>
      <c r="S95" s="36"/>
      <c r="T95" s="11"/>
      <c r="U95" s="11"/>
      <c r="V95" s="17"/>
    </row>
    <row r="96" spans="14:22" ht="11.25">
      <c r="N96" s="11"/>
      <c r="O96" s="11"/>
      <c r="P96" s="33"/>
      <c r="Q96" s="33"/>
      <c r="R96" s="33"/>
      <c r="S96" s="33"/>
      <c r="T96" s="15"/>
      <c r="U96" s="11"/>
      <c r="V96" s="17"/>
    </row>
    <row r="97" spans="14:22" ht="12.75">
      <c r="N97" s="11"/>
      <c r="O97" s="11"/>
      <c r="P97" s="15"/>
      <c r="Q97" s="11"/>
      <c r="R97" s="11"/>
      <c r="S97" s="11"/>
      <c r="T97" s="8"/>
      <c r="U97" s="34"/>
      <c r="V97" s="17"/>
    </row>
    <row r="98" spans="14:22" ht="11.25">
      <c r="N98" s="11"/>
      <c r="O98" s="11"/>
      <c r="P98" s="11"/>
      <c r="Q98" s="11"/>
      <c r="R98" s="11"/>
      <c r="S98" s="11"/>
      <c r="T98" s="11"/>
      <c r="U98" s="11"/>
      <c r="V98" s="17"/>
    </row>
    <row r="99" spans="14:22" ht="11.25">
      <c r="N99" s="13"/>
      <c r="O99" s="13"/>
      <c r="P99" s="13"/>
      <c r="Q99" s="13"/>
      <c r="R99" s="13"/>
      <c r="S99" s="13"/>
      <c r="T99" s="13"/>
      <c r="U99" s="11"/>
      <c r="V99" s="17"/>
    </row>
    <row r="100" spans="14:22" ht="11.25"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4:22" ht="11.25"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4:22" ht="11.25">
      <c r="N102" s="10"/>
      <c r="O102" s="11"/>
      <c r="P102" s="11"/>
      <c r="Q102" s="11"/>
      <c r="R102" s="11"/>
      <c r="S102" s="11"/>
      <c r="T102" s="11"/>
      <c r="U102" s="17"/>
      <c r="V102" s="17"/>
    </row>
    <row r="103" spans="14:22" ht="11.25">
      <c r="N103" s="11"/>
      <c r="O103" s="11"/>
      <c r="P103" s="11"/>
      <c r="Q103" s="11"/>
      <c r="R103" s="11"/>
      <c r="S103" s="11"/>
      <c r="T103" s="11"/>
      <c r="U103" s="17"/>
      <c r="V103" s="17"/>
    </row>
    <row r="104" spans="14:22" ht="11.25">
      <c r="N104" s="33"/>
      <c r="O104" s="33"/>
      <c r="P104" s="33"/>
      <c r="Q104" s="33"/>
      <c r="R104" s="33"/>
      <c r="S104" s="33"/>
      <c r="T104" s="33"/>
      <c r="U104" s="17"/>
      <c r="V104" s="17"/>
    </row>
    <row r="105" spans="14:22" ht="11.25">
      <c r="N105" s="33"/>
      <c r="O105" s="33"/>
      <c r="P105" s="33"/>
      <c r="Q105" s="33"/>
      <c r="R105" s="33"/>
      <c r="S105" s="33"/>
      <c r="T105" s="33"/>
      <c r="U105" s="17"/>
      <c r="V105" s="17"/>
    </row>
    <row r="106" spans="14:22" ht="11.25">
      <c r="N106" s="33"/>
      <c r="O106" s="33"/>
      <c r="P106" s="33"/>
      <c r="Q106" s="33"/>
      <c r="R106" s="33"/>
      <c r="S106" s="33"/>
      <c r="T106" s="33"/>
      <c r="U106" s="17"/>
      <c r="V106" s="17"/>
    </row>
    <row r="107" spans="14:22" ht="11.25">
      <c r="N107" s="17"/>
      <c r="O107" s="17"/>
      <c r="P107" s="17"/>
      <c r="Q107" s="17"/>
      <c r="R107" s="17"/>
      <c r="S107" s="17"/>
      <c r="T107" s="17"/>
      <c r="U107" s="17"/>
      <c r="V107" s="17"/>
    </row>
  </sheetData>
  <sheetProtection/>
  <mergeCells count="1">
    <mergeCell ref="B4:H5"/>
  </mergeCells>
  <conditionalFormatting sqref="Q65">
    <cfRule type="containsText" priority="21" dxfId="17" operator="containsText" stopIfTrue="1" text="NG">
      <formula>NOT(ISERROR(SEARCH("NG",Q65)))</formula>
    </cfRule>
  </conditionalFormatting>
  <conditionalFormatting sqref="U76">
    <cfRule type="containsText" priority="20" dxfId="17" operator="containsText" stopIfTrue="1" text="NG">
      <formula>NOT(ISERROR(SEARCH("NG",U76)))</formula>
    </cfRule>
  </conditionalFormatting>
  <conditionalFormatting sqref="R73">
    <cfRule type="cellIs" priority="19" dxfId="17" operator="greaterThan" stopIfTrue="1">
      <formula>1500</formula>
    </cfRule>
  </conditionalFormatting>
  <conditionalFormatting sqref="U83">
    <cfRule type="containsText" priority="18" dxfId="17" operator="containsText" stopIfTrue="1" text="NG">
      <formula>NOT(ISERROR(SEARCH("NG",U83)))</formula>
    </cfRule>
  </conditionalFormatting>
  <conditionalFormatting sqref="R80">
    <cfRule type="cellIs" priority="14" dxfId="17" operator="greaterThan" stopIfTrue="1">
      <formula>1500</formula>
    </cfRule>
  </conditionalFormatting>
  <conditionalFormatting sqref="R87">
    <cfRule type="cellIs" priority="12" dxfId="17" operator="greaterThan" stopIfTrue="1">
      <formula>1500</formula>
    </cfRule>
  </conditionalFormatting>
  <conditionalFormatting sqref="U90">
    <cfRule type="containsText" priority="13" dxfId="17" operator="containsText" stopIfTrue="1" text="NG">
      <formula>NOT(ISERROR(SEARCH("NG",U90)))</formula>
    </cfRule>
  </conditionalFormatting>
  <conditionalFormatting sqref="U97">
    <cfRule type="containsText" priority="11" dxfId="17" operator="containsText" stopIfTrue="1" text="NG">
      <formula>NOT(ISERROR(SEARCH("NG",U97)))</formula>
    </cfRule>
  </conditionalFormatting>
  <conditionalFormatting sqref="R94">
    <cfRule type="cellIs" priority="10" dxfId="17" operator="greaterThan" stopIfTrue="1">
      <formula>1500</formula>
    </cfRule>
  </conditionalFormatting>
  <conditionalFormatting sqref="G21">
    <cfRule type="containsText" priority="9" dxfId="17" operator="containsText" stopIfTrue="1" text="NG">
      <formula>NOT(ISERROR(SEARCH("NG",G21)))</formula>
    </cfRule>
  </conditionalFormatting>
  <conditionalFormatting sqref="G34">
    <cfRule type="containsText" priority="8" dxfId="17" operator="containsText" stopIfTrue="1" text="NG">
      <formula>NOT(ISERROR(SEARCH("NG",G34)))</formula>
    </cfRule>
  </conditionalFormatting>
  <conditionalFormatting sqref="L33">
    <cfRule type="containsText" priority="7" dxfId="17" operator="containsText" stopIfTrue="1" text="NG">
      <formula>NOT(ISERROR(SEARCH("NG",L33)))</formula>
    </cfRule>
  </conditionalFormatting>
  <conditionalFormatting sqref="L47">
    <cfRule type="containsText" priority="6" dxfId="17" operator="containsText" stopIfTrue="1" text="NG">
      <formula>NOT(ISERROR(SEARCH("NG",L47)))</formula>
    </cfRule>
  </conditionalFormatting>
  <conditionalFormatting sqref="G58">
    <cfRule type="containsText" priority="4" dxfId="17" operator="containsText" stopIfTrue="1" text="NG">
      <formula>NOT(ISERROR(SEARCH("NG",G58)))</formula>
    </cfRule>
  </conditionalFormatting>
  <conditionalFormatting sqref="G72">
    <cfRule type="containsText" priority="3" dxfId="17" operator="containsText" stopIfTrue="1" text="NG">
      <formula>NOT(ISERROR(SEARCH("NG",G72)))</formula>
    </cfRule>
  </conditionalFormatting>
  <conditionalFormatting sqref="G46">
    <cfRule type="containsText" priority="2" dxfId="17" operator="containsText" stopIfTrue="1" text="NG">
      <formula>NOT(ISERROR(SEARCH("NG",G46)))</formula>
    </cfRule>
  </conditionalFormatting>
  <conditionalFormatting sqref="G56">
    <cfRule type="containsText" priority="1" dxfId="17" operator="containsText" stopIfTrue="1" text="NG">
      <formula>NOT(ISERROR(SEARCH("NG",G56)))</formula>
    </cfRule>
  </conditionalFormatting>
  <dataValidations count="7">
    <dataValidation type="list" allowBlank="1" showInputMessage="1" showErrorMessage="1" sqref="J18">
      <formula1>$P$3:$P$11</formula1>
    </dataValidation>
    <dataValidation type="list" allowBlank="1" showInputMessage="1" showErrorMessage="1" sqref="Q73 Q94 Q87 Q80">
      <formula1>$R$3:$R$4</formula1>
    </dataValidation>
    <dataValidation type="list" allowBlank="1" showInputMessage="1" showErrorMessage="1" sqref="E71 E55">
      <formula1>$R$15:$R$34</formula1>
    </dataValidation>
    <dataValidation type="decimal" operator="lessThan" allowBlank="1" showInputMessage="1" showErrorMessage="1" promptTitle="Reinforcement Cover" prompt="This value must be less than the Footing Depth.&#10;Also concrete cast against and permanently exposed to earth shall have a min. 3&quot; of concrete cover.&#10;" errorTitle="Reinforcement Cover" error="This value must be less than the Footing Depth." sqref="J17">
      <formula1>J22</formula1>
    </dataValidation>
    <dataValidation type="list" allowBlank="1" showInputMessage="1" showErrorMessage="1" sqref="J12">
      <formula1>$R$3:$R$6</formula1>
    </dataValidation>
    <dataValidation type="list" allowBlank="1" showInputMessage="1" showErrorMessage="1" sqref="J14">
      <formula1>$T$3:$T$5</formula1>
    </dataValidation>
    <dataValidation type="list" allowBlank="1" showInputMessage="1" showErrorMessage="1" promptTitle="Column Location Factor" prompt="20 for corner columns&#10;30 for edge columns&#10;40 for interior columns" sqref="E39">
      <formula1>$T$11:$T$13</formula1>
    </dataValidation>
  </dataValidations>
  <printOptions/>
  <pageMargins left="0.5" right="0.5" top="0.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Medeek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P. Wilkerson</dc:creator>
  <cp:keywords/>
  <dc:description/>
  <cp:lastModifiedBy>NPW</cp:lastModifiedBy>
  <dcterms:created xsi:type="dcterms:W3CDTF">2014-12-21T13:50:43Z</dcterms:created>
  <dcterms:modified xsi:type="dcterms:W3CDTF">2015-09-26T05:04:53Z</dcterms:modified>
  <cp:category/>
  <cp:version/>
  <cp:contentType/>
  <cp:contentStatus/>
</cp:coreProperties>
</file>